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9420" windowHeight="11020" firstSheet="3" activeTab="3"/>
  </bookViews>
  <sheets>
    <sheet name="2020" sheetId="2" state="hidden" r:id="rId1"/>
    <sheet name="2021" sheetId="3" state="hidden" r:id="rId2"/>
    <sheet name="2023" sheetId="5" state="hidden" r:id="rId3"/>
    <sheet name="2023 уточнение" sheetId="4" r:id="rId4"/>
    <sheet name="Лист1" sheetId="9" r:id="rId5"/>
  </sheets>
  <definedNames>
    <definedName name="_xlnm.Print_Area" localSheetId="0">'2020'!$A$1:$F$145</definedName>
    <definedName name="_xlnm.Print_Area" localSheetId="1">'2020'!$A$35:$E$59</definedName>
    <definedName name="_xlnm.Print_Area" localSheetId="2">'2020'!$A$79:$E$94</definedName>
    <definedName name="_xlnm.Print_Area" localSheetId="3">'2023 уточнение'!$A$1:$F$167</definedName>
  </definedNames>
  <calcPr calcId="125725" iterateDelta="1E-4"/>
</workbook>
</file>

<file path=xl/calcChain.xml><?xml version="1.0" encoding="utf-8"?>
<calcChain xmlns="http://schemas.openxmlformats.org/spreadsheetml/2006/main">
  <c r="C136" i="4"/>
  <c r="C133"/>
  <c r="D169"/>
  <c r="E146"/>
  <c r="C159"/>
  <c r="C167"/>
  <c r="B14"/>
  <c r="E14" s="1"/>
  <c r="D167"/>
  <c r="E167"/>
  <c r="F150"/>
  <c r="F151"/>
  <c r="F167"/>
  <c r="F152"/>
  <c r="F153"/>
  <c r="F154"/>
  <c r="F155"/>
  <c r="F156"/>
  <c r="F157"/>
  <c r="F158"/>
  <c r="F160"/>
  <c r="F161"/>
  <c r="F162"/>
  <c r="F163"/>
  <c r="F164"/>
  <c r="F165"/>
  <c r="F166"/>
  <c r="F149"/>
  <c r="C166"/>
  <c r="F131"/>
  <c r="F132"/>
  <c r="F133"/>
  <c r="F134"/>
  <c r="F135"/>
  <c r="F136"/>
  <c r="C165"/>
  <c r="D139"/>
  <c r="D138"/>
  <c r="P146"/>
  <c r="P139"/>
  <c r="P138"/>
  <c r="D144"/>
  <c r="O144"/>
  <c r="C138"/>
  <c r="D140"/>
  <c r="P140"/>
  <c r="C140"/>
  <c r="C139"/>
  <c r="D141"/>
  <c r="C141"/>
  <c r="P141"/>
  <c r="O140"/>
  <c r="Q140"/>
  <c r="F120"/>
  <c r="G120"/>
  <c r="F121"/>
  <c r="J120"/>
  <c r="F122"/>
  <c r="G122"/>
  <c r="F123"/>
  <c r="J122"/>
  <c r="F124"/>
  <c r="J123"/>
  <c r="F125"/>
  <c r="J124"/>
  <c r="F119"/>
  <c r="H138"/>
  <c r="D109"/>
  <c r="E109"/>
  <c r="C105"/>
  <c r="C109"/>
  <c r="H105"/>
  <c r="F104"/>
  <c r="H104"/>
  <c r="F102"/>
  <c r="G102" s="1"/>
  <c r="H102"/>
  <c r="E126"/>
  <c r="D11"/>
  <c r="C126"/>
  <c r="H126"/>
  <c r="F107"/>
  <c r="G107" s="1"/>
  <c r="H107"/>
  <c r="F89"/>
  <c r="F90"/>
  <c r="F91"/>
  <c r="F92"/>
  <c r="F93"/>
  <c r="F94"/>
  <c r="F95"/>
  <c r="F96"/>
  <c r="F97"/>
  <c r="F88"/>
  <c r="C62"/>
  <c r="F79"/>
  <c r="C68"/>
  <c r="F75"/>
  <c r="F76"/>
  <c r="C63"/>
  <c r="F74"/>
  <c r="D13"/>
  <c r="H108"/>
  <c r="D111"/>
  <c r="F108"/>
  <c r="G108"/>
  <c r="F73"/>
  <c r="D81"/>
  <c r="D77" s="1"/>
  <c r="F69"/>
  <c r="C13"/>
  <c r="F112"/>
  <c r="F113"/>
  <c r="L130"/>
  <c r="F114"/>
  <c r="L132" s="1"/>
  <c r="F115"/>
  <c r="J114"/>
  <c r="H121"/>
  <c r="H123"/>
  <c r="G118"/>
  <c r="H118"/>
  <c r="J109"/>
  <c r="H124"/>
  <c r="H125"/>
  <c r="H119"/>
  <c r="J126"/>
  <c r="G159" i="5"/>
  <c r="D151"/>
  <c r="C13"/>
  <c r="E13" s="1"/>
  <c r="C151"/>
  <c r="B13"/>
  <c r="F150"/>
  <c r="C149"/>
  <c r="D149" s="1"/>
  <c r="J148"/>
  <c r="F148"/>
  <c r="J147"/>
  <c r="F147"/>
  <c r="J146"/>
  <c r="F146"/>
  <c r="J145"/>
  <c r="F145"/>
  <c r="J144"/>
  <c r="F144"/>
  <c r="J143"/>
  <c r="F143"/>
  <c r="J142"/>
  <c r="F142"/>
  <c r="J141"/>
  <c r="F141"/>
  <c r="F140"/>
  <c r="J139"/>
  <c r="F139"/>
  <c r="F151" s="1"/>
  <c r="J138"/>
  <c r="F138"/>
  <c r="K137"/>
  <c r="J137"/>
  <c r="F137"/>
  <c r="N136"/>
  <c r="F136"/>
  <c r="J135"/>
  <c r="F135"/>
  <c r="E132"/>
  <c r="G131"/>
  <c r="F131"/>
  <c r="H131" s="1"/>
  <c r="L130"/>
  <c r="G130"/>
  <c r="F130"/>
  <c r="H130" s="1"/>
  <c r="J125" s="1"/>
  <c r="G129"/>
  <c r="F129"/>
  <c r="H129" s="1"/>
  <c r="G128"/>
  <c r="F128"/>
  <c r="M133" s="1"/>
  <c r="F127"/>
  <c r="I127" s="1"/>
  <c r="F126"/>
  <c r="I126" s="1"/>
  <c r="F125"/>
  <c r="H125" s="1"/>
  <c r="H124"/>
  <c r="F124"/>
  <c r="D124"/>
  <c r="F123"/>
  <c r="H123" s="1"/>
  <c r="H122"/>
  <c r="F122"/>
  <c r="I122" s="1"/>
  <c r="L121"/>
  <c r="L123" s="1"/>
  <c r="L125" s="1"/>
  <c r="L126" s="1"/>
  <c r="F121"/>
  <c r="I121" s="1"/>
  <c r="D120"/>
  <c r="D132"/>
  <c r="C120"/>
  <c r="J140"/>
  <c r="L119"/>
  <c r="F119"/>
  <c r="F118"/>
  <c r="L117"/>
  <c r="F117"/>
  <c r="N116"/>
  <c r="N118"/>
  <c r="L116"/>
  <c r="F116"/>
  <c r="C116"/>
  <c r="J136"/>
  <c r="L115"/>
  <c r="F115"/>
  <c r="L114"/>
  <c r="I114"/>
  <c r="I115" s="1"/>
  <c r="I116" s="1"/>
  <c r="F114"/>
  <c r="L113"/>
  <c r="F113"/>
  <c r="L112"/>
  <c r="J112"/>
  <c r="J114"/>
  <c r="L111"/>
  <c r="D109"/>
  <c r="C109"/>
  <c r="H109" s="1"/>
  <c r="J108"/>
  <c r="D108"/>
  <c r="C108"/>
  <c r="M107"/>
  <c r="L107"/>
  <c r="J107"/>
  <c r="D107"/>
  <c r="C107" s="1"/>
  <c r="N106"/>
  <c r="L106"/>
  <c r="K106"/>
  <c r="J106"/>
  <c r="D106"/>
  <c r="C106" s="1"/>
  <c r="J105"/>
  <c r="D105"/>
  <c r="C105" s="1"/>
  <c r="J104"/>
  <c r="D104"/>
  <c r="C104" s="1"/>
  <c r="J103"/>
  <c r="D103"/>
  <c r="C103" s="1"/>
  <c r="J102"/>
  <c r="H102"/>
  <c r="L101"/>
  <c r="J101"/>
  <c r="F101"/>
  <c r="C101"/>
  <c r="H101"/>
  <c r="J100"/>
  <c r="H100"/>
  <c r="F100"/>
  <c r="J99"/>
  <c r="H99"/>
  <c r="C99"/>
  <c r="H98"/>
  <c r="F98"/>
  <c r="J97" s="1"/>
  <c r="K97"/>
  <c r="H97"/>
  <c r="F97"/>
  <c r="G97" s="1"/>
  <c r="E94"/>
  <c r="F93"/>
  <c r="F92"/>
  <c r="F91"/>
  <c r="F90"/>
  <c r="F89"/>
  <c r="F88"/>
  <c r="G92" s="1"/>
  <c r="F87"/>
  <c r="F86"/>
  <c r="N85"/>
  <c r="F85"/>
  <c r="G90" s="1"/>
  <c r="M84"/>
  <c r="F84"/>
  <c r="C82"/>
  <c r="F81"/>
  <c r="D81" s="1"/>
  <c r="G81" s="1"/>
  <c r="C80"/>
  <c r="K79"/>
  <c r="I79"/>
  <c r="C79"/>
  <c r="M78"/>
  <c r="H78"/>
  <c r="C78"/>
  <c r="C77"/>
  <c r="M76"/>
  <c r="K76"/>
  <c r="J76"/>
  <c r="C76"/>
  <c r="D75"/>
  <c r="C75" s="1"/>
  <c r="F74"/>
  <c r="F73"/>
  <c r="G87" s="1"/>
  <c r="F71"/>
  <c r="F70"/>
  <c r="F69"/>
  <c r="G85" s="1"/>
  <c r="F68"/>
  <c r="C68"/>
  <c r="F67"/>
  <c r="F66"/>
  <c r="G70" s="1"/>
  <c r="F65"/>
  <c r="F64"/>
  <c r="C64"/>
  <c r="F62"/>
  <c r="G65" s="1"/>
  <c r="I59"/>
  <c r="E59"/>
  <c r="F58"/>
  <c r="K61"/>
  <c r="L61" s="1"/>
  <c r="F57"/>
  <c r="G64" s="1"/>
  <c r="D57"/>
  <c r="D56"/>
  <c r="C56"/>
  <c r="F56"/>
  <c r="C55"/>
  <c r="G55"/>
  <c r="F54"/>
  <c r="F53"/>
  <c r="F52"/>
  <c r="D51"/>
  <c r="F51"/>
  <c r="F49" s="1"/>
  <c r="F50"/>
  <c r="D49"/>
  <c r="C49"/>
  <c r="C59" s="1"/>
  <c r="F48"/>
  <c r="F47"/>
  <c r="D47"/>
  <c r="D46"/>
  <c r="C46"/>
  <c r="F45"/>
  <c r="F44"/>
  <c r="F43"/>
  <c r="F42"/>
  <c r="F41"/>
  <c r="F40"/>
  <c r="C40"/>
  <c r="F39"/>
  <c r="F38" s="1"/>
  <c r="J38"/>
  <c r="C38"/>
  <c r="E34"/>
  <c r="D34"/>
  <c r="C34"/>
  <c r="F33"/>
  <c r="F32"/>
  <c r="F31"/>
  <c r="F30"/>
  <c r="F29"/>
  <c r="F28"/>
  <c r="F27"/>
  <c r="F26"/>
  <c r="F25"/>
  <c r="F24"/>
  <c r="F23"/>
  <c r="F22"/>
  <c r="F21"/>
  <c r="F20"/>
  <c r="F19"/>
  <c r="F34"/>
  <c r="F18"/>
  <c r="D13"/>
  <c r="E12"/>
  <c r="D12"/>
  <c r="D11"/>
  <c r="D10"/>
  <c r="D9"/>
  <c r="D8"/>
  <c r="C8"/>
  <c r="B8"/>
  <c r="I129"/>
  <c r="M131"/>
  <c r="M134"/>
  <c r="I128"/>
  <c r="G71"/>
  <c r="F46"/>
  <c r="H47" s="1"/>
  <c r="D59"/>
  <c r="I54"/>
  <c r="F55"/>
  <c r="I84"/>
  <c r="G62"/>
  <c r="I58"/>
  <c r="G67"/>
  <c r="G78"/>
  <c r="G93"/>
  <c r="G84"/>
  <c r="G69"/>
  <c r="K119"/>
  <c r="K120"/>
  <c r="K121" s="1"/>
  <c r="J116"/>
  <c r="F99"/>
  <c r="D110"/>
  <c r="L136" s="1"/>
  <c r="G109"/>
  <c r="I123"/>
  <c r="M129"/>
  <c r="I124"/>
  <c r="I125"/>
  <c r="M127"/>
  <c r="M135"/>
  <c r="M136"/>
  <c r="I131"/>
  <c r="F120"/>
  <c r="G122"/>
  <c r="G123"/>
  <c r="G124"/>
  <c r="G125"/>
  <c r="G126"/>
  <c r="G127"/>
  <c r="C132"/>
  <c r="N139"/>
  <c r="N132"/>
  <c r="L134"/>
  <c r="M125"/>
  <c r="K125"/>
  <c r="H120"/>
  <c r="J126"/>
  <c r="H119"/>
  <c r="I120"/>
  <c r="F132"/>
  <c r="J132" s="1"/>
  <c r="K132" s="1"/>
  <c r="J150"/>
  <c r="J149"/>
  <c r="J98"/>
  <c r="F71" i="4"/>
  <c r="C77"/>
  <c r="C98"/>
  <c r="B10"/>
  <c r="I83"/>
  <c r="M88"/>
  <c r="N89"/>
  <c r="M82"/>
  <c r="M80"/>
  <c r="J80"/>
  <c r="K83"/>
  <c r="K80"/>
  <c r="F70"/>
  <c r="G74" s="1"/>
  <c r="F67"/>
  <c r="F68"/>
  <c r="G73"/>
  <c r="C117"/>
  <c r="F78"/>
  <c r="G92" s="1"/>
  <c r="H101"/>
  <c r="H103"/>
  <c r="H106"/>
  <c r="H110"/>
  <c r="N150"/>
  <c r="H137"/>
  <c r="N133"/>
  <c r="N136"/>
  <c r="L137"/>
  <c r="J129"/>
  <c r="J131"/>
  <c r="M143"/>
  <c r="L148"/>
  <c r="K151"/>
  <c r="I59"/>
  <c r="F130"/>
  <c r="F106"/>
  <c r="J105" s="1"/>
  <c r="F103"/>
  <c r="J101" s="1"/>
  <c r="F101"/>
  <c r="E98"/>
  <c r="F66"/>
  <c r="F65"/>
  <c r="F64"/>
  <c r="G70" s="1"/>
  <c r="E59"/>
  <c r="F58"/>
  <c r="D57"/>
  <c r="D56"/>
  <c r="C56"/>
  <c r="C55"/>
  <c r="I54"/>
  <c r="F54"/>
  <c r="F53"/>
  <c r="F52"/>
  <c r="D51"/>
  <c r="F50"/>
  <c r="F48"/>
  <c r="D47"/>
  <c r="F47"/>
  <c r="C46"/>
  <c r="F45"/>
  <c r="F44"/>
  <c r="F43"/>
  <c r="F42"/>
  <c r="F41"/>
  <c r="C40"/>
  <c r="F40"/>
  <c r="F39"/>
  <c r="J38"/>
  <c r="E34"/>
  <c r="D34"/>
  <c r="C8"/>
  <c r="C34"/>
  <c r="B8"/>
  <c r="F33"/>
  <c r="F32"/>
  <c r="F31"/>
  <c r="F30"/>
  <c r="F29"/>
  <c r="F28"/>
  <c r="F27"/>
  <c r="F26"/>
  <c r="F25"/>
  <c r="F24"/>
  <c r="F23"/>
  <c r="F22"/>
  <c r="F21"/>
  <c r="F20"/>
  <c r="F19"/>
  <c r="F18"/>
  <c r="F34"/>
  <c r="H112" i="2"/>
  <c r="J111" s="1"/>
  <c r="F103"/>
  <c r="C139"/>
  <c r="C100"/>
  <c r="C114"/>
  <c r="C83"/>
  <c r="C94"/>
  <c r="C85"/>
  <c r="D88"/>
  <c r="D89"/>
  <c r="D90"/>
  <c r="D91"/>
  <c r="D92"/>
  <c r="D93"/>
  <c r="D87"/>
  <c r="D94" s="1"/>
  <c r="C11" s="1"/>
  <c r="K11" s="1"/>
  <c r="C56"/>
  <c r="D57"/>
  <c r="C40"/>
  <c r="C38"/>
  <c r="J38"/>
  <c r="F40"/>
  <c r="D51"/>
  <c r="D49"/>
  <c r="D47"/>
  <c r="D46"/>
  <c r="C55"/>
  <c r="I54"/>
  <c r="C46"/>
  <c r="F58"/>
  <c r="F97"/>
  <c r="F100"/>
  <c r="F114" s="1"/>
  <c r="F98"/>
  <c r="F99"/>
  <c r="F101"/>
  <c r="F102"/>
  <c r="F39"/>
  <c r="F38" s="1"/>
  <c r="C68"/>
  <c r="D76"/>
  <c r="F76"/>
  <c r="F77"/>
  <c r="D56"/>
  <c r="F56"/>
  <c r="C49"/>
  <c r="C59" s="1"/>
  <c r="B9" s="1"/>
  <c r="F55"/>
  <c r="G55"/>
  <c r="D59"/>
  <c r="C9"/>
  <c r="F46"/>
  <c r="H47"/>
  <c r="C78"/>
  <c r="B10"/>
  <c r="J10" s="1"/>
  <c r="F85"/>
  <c r="F81"/>
  <c r="F94" s="1"/>
  <c r="F82"/>
  <c r="F83"/>
  <c r="F66"/>
  <c r="F67"/>
  <c r="F68"/>
  <c r="B13"/>
  <c r="B11"/>
  <c r="B12"/>
  <c r="C34"/>
  <c r="B8"/>
  <c r="E59"/>
  <c r="D78"/>
  <c r="E78"/>
  <c r="E114"/>
  <c r="D139"/>
  <c r="C13"/>
  <c r="E139"/>
  <c r="D34"/>
  <c r="C8"/>
  <c r="K8" s="1"/>
  <c r="E34"/>
  <c r="F117"/>
  <c r="F118"/>
  <c r="F139" s="1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62"/>
  <c r="F78" s="1"/>
  <c r="F63"/>
  <c r="F64"/>
  <c r="F65"/>
  <c r="F70"/>
  <c r="F71"/>
  <c r="F72"/>
  <c r="F73"/>
  <c r="F74"/>
  <c r="F75"/>
  <c r="F41"/>
  <c r="F42"/>
  <c r="G11" i="3" s="1"/>
  <c r="F43" i="2"/>
  <c r="F44"/>
  <c r="F45"/>
  <c r="F47"/>
  <c r="F48"/>
  <c r="F50"/>
  <c r="F51"/>
  <c r="F52"/>
  <c r="G16" i="3" s="1"/>
  <c r="F53" i="2"/>
  <c r="F54"/>
  <c r="F57"/>
  <c r="G13" i="3"/>
  <c r="F18" i="2"/>
  <c r="F19"/>
  <c r="F20"/>
  <c r="F21"/>
  <c r="F34" s="1"/>
  <c r="F22"/>
  <c r="F23"/>
  <c r="F24"/>
  <c r="F25"/>
  <c r="F26"/>
  <c r="F27"/>
  <c r="F28"/>
  <c r="F29"/>
  <c r="F30"/>
  <c r="F31"/>
  <c r="F32"/>
  <c r="F33"/>
  <c r="F84"/>
  <c r="C10"/>
  <c r="K10" s="1"/>
  <c r="K61"/>
  <c r="L61" s="1"/>
  <c r="I58"/>
  <c r="G23" i="3"/>
  <c r="D9" i="2"/>
  <c r="D11"/>
  <c r="D13"/>
  <c r="E13" s="1"/>
  <c r="D8"/>
  <c r="D10"/>
  <c r="E10" s="1"/>
  <c r="D12"/>
  <c r="K9"/>
  <c r="J12"/>
  <c r="J13"/>
  <c r="J8"/>
  <c r="K13"/>
  <c r="E26" i="3"/>
  <c r="D114" i="2"/>
  <c r="C12"/>
  <c r="E12"/>
  <c r="K12"/>
  <c r="M146" i="4"/>
  <c r="M148"/>
  <c r="M147"/>
  <c r="M144"/>
  <c r="M149"/>
  <c r="M150"/>
  <c r="H142"/>
  <c r="H140"/>
  <c r="I140"/>
  <c r="J113"/>
  <c r="L131"/>
  <c r="H115"/>
  <c r="G112"/>
  <c r="G113"/>
  <c r="G114"/>
  <c r="H113"/>
  <c r="H112"/>
  <c r="G115"/>
  <c r="H114"/>
  <c r="G116"/>
  <c r="G130"/>
  <c r="H116"/>
  <c r="F116"/>
  <c r="J115" s="1"/>
  <c r="K137"/>
  <c r="K138"/>
  <c r="K139"/>
  <c r="J133"/>
  <c r="J106"/>
  <c r="G86"/>
  <c r="H122"/>
  <c r="H120"/>
  <c r="D126"/>
  <c r="D46"/>
  <c r="F46"/>
  <c r="H47"/>
  <c r="G125"/>
  <c r="F62"/>
  <c r="G67" s="1"/>
  <c r="F57"/>
  <c r="G121"/>
  <c r="M151"/>
  <c r="J143"/>
  <c r="G55"/>
  <c r="I131"/>
  <c r="I132"/>
  <c r="I133"/>
  <c r="C38"/>
  <c r="F105"/>
  <c r="J102" s="1"/>
  <c r="D142"/>
  <c r="Q142"/>
  <c r="P142"/>
  <c r="C142"/>
  <c r="I142"/>
  <c r="Q141"/>
  <c r="O141"/>
  <c r="G75"/>
  <c r="H82"/>
  <c r="F111"/>
  <c r="K111" s="1"/>
  <c r="G111"/>
  <c r="G104"/>
  <c r="H139"/>
  <c r="J121"/>
  <c r="J149"/>
  <c r="J150"/>
  <c r="L133"/>
  <c r="G140"/>
  <c r="D117"/>
  <c r="H117"/>
  <c r="H111"/>
  <c r="F51"/>
  <c r="D49"/>
  <c r="D59"/>
  <c r="F63"/>
  <c r="K90"/>
  <c r="K89"/>
  <c r="G94"/>
  <c r="H141"/>
  <c r="I141"/>
  <c r="J118"/>
  <c r="G119"/>
  <c r="D143"/>
  <c r="P143"/>
  <c r="N155"/>
  <c r="H143"/>
  <c r="J158"/>
  <c r="C11"/>
  <c r="D127"/>
  <c r="L128"/>
  <c r="D146"/>
  <c r="K116"/>
  <c r="J154"/>
  <c r="G142"/>
  <c r="J156"/>
  <c r="C12"/>
  <c r="E12" s="1"/>
  <c r="F159"/>
  <c r="K101"/>
  <c r="G76"/>
  <c r="F55"/>
  <c r="F49" s="1"/>
  <c r="G124"/>
  <c r="G123"/>
  <c r="C49"/>
  <c r="C59" s="1"/>
  <c r="F38"/>
  <c r="J107"/>
  <c r="B13"/>
  <c r="E13" s="1"/>
  <c r="E8"/>
  <c r="L150"/>
  <c r="H69"/>
  <c r="G131"/>
  <c r="K148"/>
  <c r="Q143"/>
  <c r="C143"/>
  <c r="L135"/>
  <c r="G101"/>
  <c r="F109"/>
  <c r="G109" s="1"/>
  <c r="F77"/>
  <c r="G80" s="1"/>
  <c r="G85"/>
  <c r="H109"/>
  <c r="C127"/>
  <c r="J161"/>
  <c r="J157"/>
  <c r="I139"/>
  <c r="J155"/>
  <c r="J151"/>
  <c r="J152"/>
  <c r="K143"/>
  <c r="Q139"/>
  <c r="G141"/>
  <c r="F146"/>
  <c r="J146" s="1"/>
  <c r="K146" s="1"/>
  <c r="K61"/>
  <c r="L61" s="1"/>
  <c r="G93"/>
  <c r="N154"/>
  <c r="N146"/>
  <c r="G143"/>
  <c r="I138"/>
  <c r="O143"/>
  <c r="O142"/>
  <c r="G64"/>
  <c r="J112"/>
  <c r="I58"/>
  <c r="F56"/>
  <c r="G62" s="1"/>
  <c r="J111"/>
  <c r="L129"/>
  <c r="G89"/>
  <c r="G96"/>
  <c r="G97"/>
  <c r="G95"/>
  <c r="F126"/>
  <c r="J119" s="1"/>
  <c r="O139"/>
  <c r="O138"/>
  <c r="Q138"/>
  <c r="B11"/>
  <c r="E11" s="1"/>
  <c r="G138"/>
  <c r="G135"/>
  <c r="G136"/>
  <c r="G132"/>
  <c r="G133"/>
  <c r="G139"/>
  <c r="G137"/>
  <c r="G91"/>
  <c r="I143"/>
  <c r="J163"/>
  <c r="J160"/>
  <c r="G126"/>
  <c r="J162"/>
  <c r="C146"/>
  <c r="J166"/>
  <c r="J159"/>
  <c r="J108"/>
  <c r="J164"/>
  <c r="O149"/>
  <c r="G69"/>
  <c r="G78"/>
  <c r="G71"/>
  <c r="C171"/>
  <c r="P150"/>
  <c r="J165"/>
  <c r="E9" i="2" l="1"/>
  <c r="J9"/>
  <c r="G107" i="5"/>
  <c r="G114"/>
  <c r="H107"/>
  <c r="G77" i="4"/>
  <c r="D98"/>
  <c r="C10" s="1"/>
  <c r="P75" i="5"/>
  <c r="H104"/>
  <c r="G104"/>
  <c r="H106"/>
  <c r="G106"/>
  <c r="G113"/>
  <c r="E11" i="2"/>
  <c r="F25" i="3"/>
  <c r="K54" i="4"/>
  <c r="I62"/>
  <c r="K50"/>
  <c r="I62" i="5"/>
  <c r="K50"/>
  <c r="K54"/>
  <c r="K103"/>
  <c r="C110"/>
  <c r="G103"/>
  <c r="H103"/>
  <c r="G105"/>
  <c r="H105"/>
  <c r="F98" i="4"/>
  <c r="J104"/>
  <c r="G65"/>
  <c r="J103"/>
  <c r="L114"/>
  <c r="M114" s="1"/>
  <c r="J110"/>
  <c r="F117"/>
  <c r="E8" i="2"/>
  <c r="J11"/>
  <c r="P152" i="4"/>
  <c r="G68"/>
  <c r="G88"/>
  <c r="G8"/>
  <c r="I88"/>
  <c r="G82"/>
  <c r="G84"/>
  <c r="J125"/>
  <c r="G81"/>
  <c r="L139"/>
  <c r="L141" s="1"/>
  <c r="L143" s="1"/>
  <c r="G63"/>
  <c r="F49" i="2"/>
  <c r="N126" i="5"/>
  <c r="N128" s="1"/>
  <c r="H128"/>
  <c r="M130"/>
  <c r="M128"/>
  <c r="H108"/>
  <c r="G88"/>
  <c r="G68"/>
  <c r="G74"/>
  <c r="G89"/>
  <c r="G77"/>
  <c r="G66"/>
  <c r="E8"/>
  <c r="H126"/>
  <c r="G79"/>
  <c r="C81"/>
  <c r="C73" s="1"/>
  <c r="G82"/>
  <c r="H127"/>
  <c r="M137"/>
  <c r="G87" i="4"/>
  <c r="H77"/>
  <c r="I77" s="1"/>
  <c r="G79"/>
  <c r="G83"/>
  <c r="G66"/>
  <c r="F110" i="5"/>
  <c r="K134"/>
  <c r="I130"/>
  <c r="M132"/>
  <c r="G86"/>
  <c r="G83"/>
  <c r="G80"/>
  <c r="G63"/>
  <c r="D73"/>
  <c r="G108"/>
  <c r="G90" i="4"/>
  <c r="K109" i="5"/>
  <c r="N140"/>
  <c r="G91"/>
  <c r="G76"/>
  <c r="G75"/>
  <c r="H121"/>
  <c r="M126"/>
  <c r="C63" l="1"/>
  <c r="H69"/>
  <c r="C94"/>
  <c r="B10" s="1"/>
  <c r="J109"/>
  <c r="K116"/>
  <c r="L118"/>
  <c r="D94"/>
  <c r="C10" s="1"/>
  <c r="G9" s="1"/>
  <c r="R86"/>
  <c r="F127" i="4"/>
  <c r="G117"/>
  <c r="E10"/>
  <c r="G9"/>
  <c r="G119" i="5"/>
  <c r="G115"/>
  <c r="G120"/>
  <c r="G121"/>
  <c r="G116"/>
  <c r="G118"/>
  <c r="G117"/>
  <c r="K50" i="2"/>
  <c r="K54"/>
  <c r="G73" i="5"/>
  <c r="G11" i="4" l="1"/>
  <c r="O14"/>
  <c r="E10" i="5"/>
  <c r="G8"/>
  <c r="J117" i="4"/>
  <c r="L136"/>
  <c r="J116"/>
  <c r="K133"/>
  <c r="P64" i="5"/>
  <c r="K85"/>
  <c r="F63"/>
  <c r="K86"/>
  <c r="F94" l="1"/>
  <c r="H73"/>
  <c r="I73" s="1"/>
  <c r="P10"/>
  <c r="G11"/>
  <c r="I128" i="4"/>
  <c r="I111" i="5"/>
</calcChain>
</file>

<file path=xl/sharedStrings.xml><?xml version="1.0" encoding="utf-8"?>
<sst xmlns="http://schemas.openxmlformats.org/spreadsheetml/2006/main" count="855" uniqueCount="184">
  <si>
    <t>Наименование мероприятия</t>
  </si>
  <si>
    <t>Областной бюджет</t>
  </si>
  <si>
    <t>Местный бюджет</t>
  </si>
  <si>
    <t>Федеральный Бюджет</t>
  </si>
  <si>
    <t>Ремонт автодороги "Москва-Киев-Перемышль"-д.Н.Подгоричи (2,3 км)</t>
  </si>
  <si>
    <t>Установка ограждений в соответствии с новыми национальными стандартами по обустройству пешеходных переходов в районе МКОУ «Перемышельская СОШ» и ГБПОУ КО «Перемышльский техникум эксплуатации транспорта»</t>
  </si>
  <si>
    <t>Ремонт автомобильной дороги  по ул. Федеративная в с. Перемышль Перемышльского района</t>
  </si>
  <si>
    <t>Ремонт автомобильной дороги по ул. Трубникова в с. Перемышль (без песка)</t>
  </si>
  <si>
    <t>Ремонт автомобильной дороги "Голодское-Суворов-Одоев"-Мехово в Перемышльском районе</t>
  </si>
  <si>
    <t>Ремонт улично-дорожной сети д. Хохловка Перемышльского района Калужской области</t>
  </si>
  <si>
    <t xml:space="preserve">ремонт улично-дорожной сети с. Перемышль Перемышльского района Калужской области (автомобильные дороги)                                                       </t>
  </si>
  <si>
    <t xml:space="preserve">ремонт улично-дорожной сети с. Перемышль Перемышльского района Калужской области (тротуары)    </t>
  </si>
  <si>
    <t>Ремонт автомобильной дороги "1Р-132 Калуга-Тула-Михайлов-Рязань" - Рождественно в Перемышльском районе, протяженностью 3,2 км</t>
  </si>
  <si>
    <t xml:space="preserve">Ремонт автомобильной дороги по д. Песочня в Перемышльском районе, протяженностью 0,953 км </t>
  </si>
  <si>
    <t xml:space="preserve">Ремонт участка автомобильной дороги по улице Школьная в с. Калужская опытная сельскохозяйственная станция
</t>
  </si>
  <si>
    <t>Стр. Контроль(Песочня, ОПХ)</t>
  </si>
  <si>
    <t>Диагностика БДД</t>
  </si>
  <si>
    <t>СтройКонтроль</t>
  </si>
  <si>
    <t>Паспортизация автомобильных дорог</t>
  </si>
  <si>
    <t>Ремонтные работы после весеннего обследования</t>
  </si>
  <si>
    <t>Ремонт автодороги д. Хотисино - д. Холмы</t>
  </si>
  <si>
    <t>Ремонт автодороги "Калуга-Тула"- д.Крутицы</t>
  </si>
  <si>
    <t>д. Н. Косьмово - д. В. Косьмово</t>
  </si>
  <si>
    <t xml:space="preserve"> "Калуга -Козельск" - Пионер  лагеря </t>
  </si>
  <si>
    <t>Ремонт участка автодороги по д.Зимницы</t>
  </si>
  <si>
    <t>Ремонт участка автодороги по с.Макарово (уч.№1, уч.№3, ул.Северная)</t>
  </si>
  <si>
    <t>Ремонт участка автодороги по ул. Ленина с. Перемышль</t>
  </si>
  <si>
    <t>Ремонт участка автодороги по ул. Красноармейская с. Перемышль</t>
  </si>
  <si>
    <t>Ремонт участка автодороги по ул. Коммунистическая с. Перемышль</t>
  </si>
  <si>
    <t>Ремонт участка автодороги по ул. Коммунаров с. Перемышль</t>
  </si>
  <si>
    <t>Ремонт участка автодороги по ул. Красный Октябрь с. Перемышль</t>
  </si>
  <si>
    <t>Ремонт участка автодороги по ул. Зеленая с. Перемышль</t>
  </si>
  <si>
    <t>Ремонт участка автодороги по ул. Федеративная с. Перемышль</t>
  </si>
  <si>
    <t>автодорога по д.Песочня</t>
  </si>
  <si>
    <t>автодорога по деревне Погореловка</t>
  </si>
  <si>
    <t>автодорога по д.Хотисино</t>
  </si>
  <si>
    <t>автодорога по с.Рождественно</t>
  </si>
  <si>
    <t>автодорога по д.Верхнее Косьмово</t>
  </si>
  <si>
    <t>автодорога по д.Крутицы</t>
  </si>
  <si>
    <t>автодорога по д.Большие Сушки</t>
  </si>
  <si>
    <t>автодорога по д.Ладыгино</t>
  </si>
  <si>
    <t>Приложение к постановлению</t>
  </si>
  <si>
    <t xml:space="preserve">администрации муниципального района </t>
  </si>
  <si>
    <t>«Перемышльский район»</t>
  </si>
  <si>
    <t xml:space="preserve">6. Перечень мероприятий
Муниципальной программы «Развитие дорожного хозяйства в муниципальном районе «Перемышльский район» на период 2020-2025 годов» </t>
  </si>
  <si>
    <t>Объем расходов на реализацию программы, тыс.руб.</t>
  </si>
  <si>
    <t>Таблица итогов по годам реализации</t>
  </si>
  <si>
    <t>2020 год</t>
  </si>
  <si>
    <t>2021 год</t>
  </si>
  <si>
    <t>2022 год</t>
  </si>
  <si>
    <t>2023 год</t>
  </si>
  <si>
    <t>2024 год</t>
  </si>
  <si>
    <t>2025 год</t>
  </si>
  <si>
    <t>Итог</t>
  </si>
  <si>
    <t>Содержание улично-дорожной сети</t>
  </si>
  <si>
    <t>Сумма</t>
  </si>
  <si>
    <t>Ремонт автодороги по д. Горки</t>
  </si>
  <si>
    <t>Ремонт автодороги Красноармейская</t>
  </si>
  <si>
    <t>Тротуар по ул. Республиканская</t>
  </si>
  <si>
    <t>Ремонт тротуара по ул. Ленина, ул. Советская</t>
  </si>
  <si>
    <t>Стоянка детский сад Радуга</t>
  </si>
  <si>
    <t>Национальный проект "Безопасные Качественные Дороги"</t>
  </si>
  <si>
    <t>Ремонт, реконструкция и содержание автомобильных дорог общего пользования местного значения</t>
  </si>
  <si>
    <t>Год реализации</t>
  </si>
  <si>
    <t>Ремонт автомобильной дороги "Автодорога по д. Горки (уч. № 1 и уч. №2)" Перемышльского района</t>
  </si>
  <si>
    <t xml:space="preserve">Прокладка труб 530мм методом ГНБ (УСН)										</t>
  </si>
  <si>
    <t>Разработка проекта организации дорожного движения</t>
  </si>
  <si>
    <t>Ремонт автомобильной дороги М-3 "Украина" - Перемышль" - Нижние Подгоричи, протяженностью 2,3 км</t>
  </si>
  <si>
    <t>Ремонт автомобильной дороги "1Р-132 Калуга-Тула-Михайлов-Рязань"-Рождествено в Перемышльском районе, протяженностью 3,2 км.</t>
  </si>
  <si>
    <t>Тротуар по ул. Гагарина от д.1</t>
  </si>
  <si>
    <t>2021</t>
  </si>
  <si>
    <t>2022</t>
  </si>
  <si>
    <t>2023</t>
  </si>
  <si>
    <t>2024</t>
  </si>
  <si>
    <t>2025</t>
  </si>
  <si>
    <t>Диагностика (БКД)</t>
  </si>
  <si>
    <t>Паспортизация</t>
  </si>
  <si>
    <t>Ремонт трубопереезда  на а/д д.Корекозево – д.Киреево</t>
  </si>
  <si>
    <t>Ремонт а/д по ул. Михаила Замулаева  с. Перемышль</t>
  </si>
  <si>
    <t>Стройконтроль</t>
  </si>
  <si>
    <t xml:space="preserve">ремонт автомобильной дороги "д.Голодское-Суворов-Одоев" - д.Мехово в Перемышльском районе, протяженностью 3,5 км  </t>
  </si>
  <si>
    <t>ремонт автомобильной дороги  1Р132 "Калуга-Тула-Михайлов-Рязань" - д.Будаково в Перемышльском районе, протяженностью 1,20 км</t>
  </si>
  <si>
    <t xml:space="preserve"> ремонт автомобильной дороги "Калуга-Тула" - д.Н.Косьмово в Перемышльском районе, протяженностью 1,75 км</t>
  </si>
  <si>
    <t>ремонт автомобильной дороги с.Калужская опытная сельскохозяйственная станция - д.Столпово в Перемышльском районе, протяженностью 1,760 км</t>
  </si>
  <si>
    <t xml:space="preserve"> ремонт автомобильной дороги Р-132 "Калуга-Тула-Михайлов-Рязань" - Фитинино в Перемышльском районе, протяженностью 2,0 км</t>
  </si>
  <si>
    <t>Ремонт автомобильной  дороги по  д.Сильково Перемышльского района, протяженностью 1,45 км</t>
  </si>
  <si>
    <t xml:space="preserve">Ремонт автомобильной  дороги по  д.Покровское Перемышльского района, протяженностью 1,5 км </t>
  </si>
  <si>
    <t>Диагностика автомобильных дорог</t>
  </si>
  <si>
    <t>Ремонт автомобильной дороги Новоселки-Головнино в Перемышльском районе, протяженностью 4,0 км</t>
  </si>
  <si>
    <t xml:space="preserve">Ремонт автомобильной дороги по ул. Лесной и ул. Гагарина в с. Перемышль, протяженностью 0,750 км													</t>
  </si>
  <si>
    <t>Восстановление тротуара на трубопереезде по ул. Ленина в районе д.42</t>
  </si>
  <si>
    <t xml:space="preserve">Ремонт улично-дорожной сети с. Перемышль Перемышльского района Калужской области </t>
  </si>
  <si>
    <t>Ремонт тротуара по ул. Суворова</t>
  </si>
  <si>
    <t>Ремонт автодороги по с.Борищево</t>
  </si>
  <si>
    <t>Ремонт автодороги по Григоровское</t>
  </si>
  <si>
    <t>Ремонт автодороги по с. Ахлебинино</t>
  </si>
  <si>
    <t>Показатели результативности</t>
  </si>
  <si>
    <t>Наименование индикатора</t>
  </si>
  <si>
    <t>единица измерения</t>
  </si>
  <si>
    <t>значение индикатора, год</t>
  </si>
  <si>
    <t>Сокращение доли автомобильных дорог местного значения, не соотвествующих нормативным требованиям</t>
  </si>
  <si>
    <t>%</t>
  </si>
  <si>
    <t>протяженность автомобильных дорог общего пользования местного значения МР "Перемышльский район, вводимых в эксплуатацию после ремонта и реконструкции</t>
  </si>
  <si>
    <t>км</t>
  </si>
  <si>
    <t>от «___» марта  2021 г. № _______</t>
  </si>
  <si>
    <t xml:space="preserve">Мероприятия </t>
  </si>
  <si>
    <t>Столбец1</t>
  </si>
  <si>
    <t>Развитие сети автомобильных дорог</t>
  </si>
  <si>
    <t>Реализация мероприятий"Совершенствование и развитие сети автомобильных дорог Калужской области</t>
  </si>
  <si>
    <t>Столбец2</t>
  </si>
  <si>
    <t>102 616,57</t>
  </si>
  <si>
    <t>Ремонт автодороги по с.Премышль ул. Дачная</t>
  </si>
  <si>
    <t>Ремонт автодороги по д. верхнее Алопово</t>
  </si>
  <si>
    <t>Столбец3</t>
  </si>
  <si>
    <t>Автодорога по д.Василенки</t>
  </si>
  <si>
    <t>Автодорога по с.Ильинское</t>
  </si>
  <si>
    <t>Автодорога по д.Хотисино</t>
  </si>
  <si>
    <t>Автодорога по д.Зимницы</t>
  </si>
  <si>
    <t>Столбец4</t>
  </si>
  <si>
    <t>5 684,00</t>
  </si>
  <si>
    <t>Ремонт автомобильной  дороги по  ул. Коммунистическая  с. Перемышль Перемышльского района, протяженностью 0,515км.</t>
  </si>
  <si>
    <t>Ремонт автомобильной  дороги по  ул. Дачная  с. Перемышль Перемышльского района, протяженностью  0,700</t>
  </si>
  <si>
    <t>Ремонт автомобильной  дороги по  д.Покровское Перемышльского района, протяженностью 1,5 км.</t>
  </si>
  <si>
    <t xml:space="preserve">Ремонт автомобильной  дороги по  д.Сильково Перемышльского района, протяженностью 1,45 км </t>
  </si>
  <si>
    <t>"Голодское-Суворов-Одоев"-Зимницы</t>
  </si>
  <si>
    <t>Макарово-гулево</t>
  </si>
  <si>
    <t xml:space="preserve"> Ремонт  стоянки по ул. Советская</t>
  </si>
  <si>
    <t>Ремонт автомобильной дороги по д. Нижнее Алопово</t>
  </si>
  <si>
    <t>Ремонт автомобильной дороги по ул. Луговая с. Перемышль</t>
  </si>
  <si>
    <t>Ремонт автомобильной дороги по ул. Зеленаяс. Перемышль</t>
  </si>
  <si>
    <t>Ремонт автомобильной дороги по ул. Цветочная с. Перемышль</t>
  </si>
  <si>
    <t>Тротуар по ул. Суворова</t>
  </si>
  <si>
    <t>Ремонт улично дорожной сети в  с. Перемышль</t>
  </si>
  <si>
    <t xml:space="preserve">Ремонт автомобильной дороги  в с.Гремячево  в Перемышльском  районе, протяженностью  0,650 км     </t>
  </si>
  <si>
    <t xml:space="preserve"> Ремонт автомобильной дороги д. Синятино - д. Погореловка  в Перемышльском районе, протяженностью 0,35 км </t>
  </si>
  <si>
    <t xml:space="preserve"> Ремонт улично-дорожной сети с. Перемышль Перемышльского района Калужской области (автомобильные дороги) ,  по ул.Трубникова     </t>
  </si>
  <si>
    <t>Ремонт автомобильной дороги "д.Голодское-Суворов-Одоев" - д.Мехово в Перемышльском районе, протяженностью 3,5 км</t>
  </si>
  <si>
    <t xml:space="preserve"> Ремонт автомобильной дороги "Калуга-Тула" - д.Н.Косьмово в Перемышльском районе, протяженностью 1,75 км</t>
  </si>
  <si>
    <t>Ремонт автомобильной дороги с.Калужская опытная сельскохозяйственная станция - д.Столпово в Перемышльском районе, протяженностью 1,760 км</t>
  </si>
  <si>
    <t>Ремонт автомобильной дороги Р-132 "Калуга-Тула-Михайлов-Рязань" - Фитинино в Перемышльском районе, протяженностью 2,0 км</t>
  </si>
  <si>
    <t xml:space="preserve">от      октября  2022 г. № </t>
  </si>
  <si>
    <t xml:space="preserve">Ремонт автомобильной дороги д.Синятино-д. Погореловка   в Перемышльском  районе, протяженностью  0,350 км.     </t>
  </si>
  <si>
    <t>Передача средств сельским поселениям на зимнее содержание дорог</t>
  </si>
  <si>
    <t>БКД ИТОГО</t>
  </si>
  <si>
    <t xml:space="preserve"> Автомобильная дорога "Калуга-Тула"- Крутицы 1,54 км.</t>
  </si>
  <si>
    <t xml:space="preserve"> Автомобильная дорога по с.Григоровское 3,086 км.</t>
  </si>
  <si>
    <t>Автомобильная дорога по с. Ахлебинино 2,09 км.</t>
  </si>
  <si>
    <t>Автомобильная дорога по с. Борищево 2,013 км.</t>
  </si>
  <si>
    <t>Автомобильная дорога "д.Хотисино -д. Холмы" 2,1 км.</t>
  </si>
  <si>
    <t>Ремонт автодороги по д. Верхнее Алопово 0,82 км.</t>
  </si>
  <si>
    <t>ДОРОГИ МИНСЕЛЬХОЗ ПЕРЕМЫШЛЬ</t>
  </si>
  <si>
    <t>Итого Минсельхоз</t>
  </si>
  <si>
    <t>Итого дорожный фонд</t>
  </si>
  <si>
    <t>Ремонт подъезда в ЦРБ в с. Перемышль</t>
  </si>
  <si>
    <t>Ремонт водовыпускной трубы Мехово</t>
  </si>
  <si>
    <t>МБ</t>
  </si>
  <si>
    <t>ОБ</t>
  </si>
  <si>
    <t>ФБ</t>
  </si>
  <si>
    <t xml:space="preserve"> Участок автомобтльной дороги Макаров-Гулево</t>
  </si>
  <si>
    <t>Разворотная площадка в с.Гремячево воозле монастыря</t>
  </si>
  <si>
    <t>Ремонт ограждения стоянка по ул Трубникова</t>
  </si>
  <si>
    <t>"Калуга-Козельск"-д. Большие Сушки</t>
  </si>
  <si>
    <t>Стройконтроль БКД</t>
  </si>
  <si>
    <t>Стройконтроль Минсельхоз</t>
  </si>
  <si>
    <t>Ремонт участка  автомобильной дороги дорога д.Синятино-д,Погореловка</t>
  </si>
  <si>
    <t>Голодское-Суворов-Одоев- Зимницы 0,650 км</t>
  </si>
  <si>
    <t xml:space="preserve"> Ремонт автомобильной дороги по с.Рождественно- 1,5 км</t>
  </si>
  <si>
    <t xml:space="preserve"> Ремонт автомобильной дороги по д. Зимницы -1км.</t>
  </si>
  <si>
    <t xml:space="preserve"> Ремонт автомобильной дороги "Москва-Киев-Перемышль"-Заболотье- 1,8 км.</t>
  </si>
  <si>
    <t xml:space="preserve"> Ремонт автомобильной дороги с.Борищево – д. Садки 2,0 км.</t>
  </si>
  <si>
    <t>Ремонт автомобильной дороги д.Сильково-д.Грицкое 1,0 км.</t>
  </si>
  <si>
    <t xml:space="preserve"> Ремонт автомобильной дороги по с. Ильинское- 2,1 км.</t>
  </si>
  <si>
    <t>Ремонт  участка автомобильной дороги Синятино-Погореловка 550 м.</t>
  </si>
  <si>
    <t>Содержание улично-дорожной сети пеедача средств СП</t>
  </si>
  <si>
    <t>Ремонт автомобильной дороги в с. Перемышль ул. Полевая 600м.</t>
  </si>
  <si>
    <t>Ремонт участка автомобильной дороги «Калуга -Козельск» - Пионерлагеря -1,5 км.</t>
  </si>
  <si>
    <r>
      <t xml:space="preserve">Ремонт автомобильной дороги по </t>
    </r>
    <r>
      <rPr>
        <b/>
        <sz val="14"/>
        <color indexed="8"/>
        <rFont val="Times New Roman"/>
        <family val="1"/>
        <charset val="204"/>
      </rPr>
      <t>пер. Циолковского в с. Перемышль</t>
    </r>
    <r>
      <rPr>
        <sz val="14"/>
        <color indexed="8"/>
        <rFont val="Times New Roman"/>
        <family val="1"/>
        <charset val="204"/>
      </rPr>
      <t xml:space="preserve"> в Перемышльском районе, протяженностью 0,667 км</t>
    </r>
  </si>
  <si>
    <r>
      <t xml:space="preserve">Ремонт автомобильной дороги по </t>
    </r>
    <r>
      <rPr>
        <b/>
        <sz val="14"/>
        <color indexed="8"/>
        <rFont val="Times New Roman"/>
        <family val="1"/>
        <charset val="204"/>
      </rPr>
      <t xml:space="preserve">ул. 25 лет Октября в с. Перемышль </t>
    </r>
    <r>
      <rPr>
        <sz val="14"/>
        <color indexed="8"/>
        <rFont val="Times New Roman"/>
        <family val="1"/>
        <charset val="204"/>
      </rPr>
      <t>в Перемышльском районе, протяженностью 0,438 км</t>
    </r>
  </si>
  <si>
    <r>
      <t xml:space="preserve">Ремонт автомобильной дороги по </t>
    </r>
    <r>
      <rPr>
        <b/>
        <sz val="14"/>
        <color indexed="8"/>
        <rFont val="Times New Roman"/>
        <family val="1"/>
        <charset val="204"/>
      </rPr>
      <t xml:space="preserve">ул. Красный Октябрь в с. Перемышль </t>
    </r>
    <r>
      <rPr>
        <sz val="14"/>
        <color indexed="8"/>
        <rFont val="Times New Roman"/>
        <family val="1"/>
        <charset val="204"/>
      </rPr>
      <t>в Перемышльском районе, протяженностью 0,770 км</t>
    </r>
  </si>
  <si>
    <r>
      <t xml:space="preserve">Ремонт автомобильной дороги по </t>
    </r>
    <r>
      <rPr>
        <b/>
        <sz val="14"/>
        <color indexed="8"/>
        <rFont val="Times New Roman"/>
        <family val="1"/>
        <charset val="204"/>
      </rPr>
      <t>ул. Льва Толстого в с. Перемышль</t>
    </r>
    <r>
      <rPr>
        <sz val="14"/>
        <color indexed="8"/>
        <rFont val="Times New Roman"/>
        <family val="1"/>
        <charset val="204"/>
      </rPr>
      <t xml:space="preserve"> в Перемышльском районе, протяженностью 0,499 км</t>
    </r>
  </si>
  <si>
    <r>
      <t xml:space="preserve">Ремонт автомобильной дороги по </t>
    </r>
    <r>
      <rPr>
        <b/>
        <sz val="14"/>
        <color indexed="8"/>
        <rFont val="Times New Roman"/>
        <family val="1"/>
        <charset val="204"/>
      </rPr>
      <t xml:space="preserve">ул. Циолковского в с. Перемышль </t>
    </r>
    <r>
      <rPr>
        <sz val="14"/>
        <color indexed="8"/>
        <rFont val="Times New Roman"/>
        <family val="1"/>
        <charset val="204"/>
      </rPr>
      <t>в Перемышльском районе, протяженностью 0,390 км</t>
    </r>
  </si>
  <si>
    <r>
      <t xml:space="preserve">Ремонт автомобильной дороги по </t>
    </r>
    <r>
      <rPr>
        <b/>
        <sz val="14"/>
        <color indexed="8"/>
        <rFont val="Times New Roman"/>
        <family val="1"/>
        <charset val="204"/>
      </rPr>
      <t>ул. Мелиораторов в с. Перемышль</t>
    </r>
    <r>
      <rPr>
        <sz val="14"/>
        <color indexed="8"/>
        <rFont val="Times New Roman"/>
        <family val="1"/>
        <charset val="204"/>
      </rPr>
      <t xml:space="preserve"> в Перемышльском районе, протяженностью 0,926 км</t>
    </r>
  </si>
  <si>
    <r>
      <t xml:space="preserve">Ремонт автомобильной дороги по </t>
    </r>
    <r>
      <rPr>
        <b/>
        <sz val="14"/>
        <color indexed="8"/>
        <rFont val="Times New Roman Cyr"/>
        <charset val="204"/>
      </rPr>
      <t xml:space="preserve">ул. Республиканская в с. Перемышль </t>
    </r>
    <r>
      <rPr>
        <sz val="14"/>
        <color indexed="8"/>
        <rFont val="Times New Roman Cyr"/>
        <family val="1"/>
        <charset val="204"/>
      </rPr>
      <t>в Перемышльском районе, протяженностью 0,488 км</t>
    </r>
  </si>
  <si>
    <t>от   27  октября   2023 г. №  978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</si>
</sst>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0.0000"/>
    <numFmt numFmtId="166" formatCode="#,##0.000"/>
  </numFmts>
  <fonts count="39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sz val="14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6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4" fontId="16" fillId="2" borderId="13">
      <alignment horizontal="right" vertical="top" shrinkToFit="1"/>
    </xf>
    <xf numFmtId="0" fontId="15" fillId="0" borderId="0"/>
  </cellStyleXfs>
  <cellXfs count="368">
    <xf numFmtId="0" fontId="0" fillId="0" borderId="0" xfId="0"/>
    <xf numFmtId="0" fontId="18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8" fillId="3" borderId="1" xfId="0" applyFont="1" applyFill="1" applyBorder="1" applyAlignment="1">
      <alignment horizontal="left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Continuous" vertical="center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 horizontal="center" vertical="center"/>
    </xf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4" fontId="18" fillId="0" borderId="1" xfId="0" applyNumberFormat="1" applyFont="1" applyFill="1" applyBorder="1" applyAlignment="1">
      <alignment wrapText="1"/>
    </xf>
    <xf numFmtId="4" fontId="18" fillId="0" borderId="1" xfId="0" applyNumberFormat="1" applyFont="1" applyFill="1" applyBorder="1" applyAlignment="1">
      <alignment horizontal="left" vertical="center" wrapText="1"/>
    </xf>
    <xf numFmtId="164" fontId="18" fillId="0" borderId="0" xfId="0" applyNumberFormat="1" applyFont="1"/>
    <xf numFmtId="164" fontId="2" fillId="0" borderId="7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/>
    <xf numFmtId="164" fontId="18" fillId="5" borderId="0" xfId="0" applyNumberFormat="1" applyFont="1" applyFill="1"/>
    <xf numFmtId="164" fontId="18" fillId="6" borderId="0" xfId="0" applyNumberFormat="1" applyFont="1" applyFill="1"/>
    <xf numFmtId="4" fontId="18" fillId="0" borderId="8" xfId="0" applyNumberFormat="1" applyFont="1" applyBorder="1" applyAlignment="1">
      <alignment horizontal="center" vertical="center"/>
    </xf>
    <xf numFmtId="4" fontId="5" fillId="7" borderId="1" xfId="1" applyNumberFormat="1" applyFont="1" applyFill="1" applyBorder="1" applyAlignment="1">
      <alignment horizontal="left" vertical="center" wrapText="1"/>
    </xf>
    <xf numFmtId="4" fontId="0" fillId="0" borderId="1" xfId="0" applyNumberFormat="1" applyBorder="1"/>
    <xf numFmtId="4" fontId="0" fillId="6" borderId="1" xfId="0" applyNumberFormat="1" applyFill="1" applyBorder="1"/>
    <xf numFmtId="4" fontId="0" fillId="0" borderId="1" xfId="0" applyNumberFormat="1" applyFill="1" applyBorder="1"/>
    <xf numFmtId="49" fontId="18" fillId="0" borderId="0" xfId="0" applyNumberFormat="1" applyFont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9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8" fillId="0" borderId="1" xfId="0" applyNumberFormat="1" applyFont="1" applyBorder="1" applyAlignment="1">
      <alignment horizontal="centerContinuous" vertical="center"/>
    </xf>
    <xf numFmtId="49" fontId="0" fillId="0" borderId="1" xfId="0" applyNumberForma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Continuous" vertical="center"/>
    </xf>
    <xf numFmtId="4" fontId="6" fillId="7" borderId="1" xfId="1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right" vertical="center" wrapText="1"/>
    </xf>
    <xf numFmtId="0" fontId="0" fillId="0" borderId="1" xfId="0" applyBorder="1"/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Continuous" vertical="center" wrapText="1"/>
    </xf>
    <xf numFmtId="49" fontId="18" fillId="0" borderId="1" xfId="0" applyNumberFormat="1" applyFont="1" applyFill="1" applyBorder="1" applyAlignment="1">
      <alignment horizontal="centerContinuous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2" fillId="0" borderId="1" xfId="3" applyFont="1" applyBorder="1" applyAlignment="1">
      <alignment wrapText="1"/>
    </xf>
    <xf numFmtId="4" fontId="23" fillId="0" borderId="0" xfId="0" applyNumberFormat="1" applyFont="1"/>
    <xf numFmtId="0" fontId="21" fillId="0" borderId="1" xfId="3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8" fillId="7" borderId="1" xfId="0" applyNumberFormat="1" applyFont="1" applyFill="1" applyBorder="1" applyAlignment="1">
      <alignment wrapText="1"/>
    </xf>
    <xf numFmtId="4" fontId="18" fillId="7" borderId="1" xfId="0" applyNumberFormat="1" applyFont="1" applyFill="1" applyBorder="1" applyAlignment="1">
      <alignment horizontal="left" vertical="center" wrapText="1"/>
    </xf>
    <xf numFmtId="49" fontId="18" fillId="7" borderId="1" xfId="0" applyNumberFormat="1" applyFont="1" applyFill="1" applyBorder="1" applyAlignment="1">
      <alignment horizontal="center" vertical="center"/>
    </xf>
    <xf numFmtId="4" fontId="18" fillId="7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0" fillId="7" borderId="0" xfId="0" applyNumberFormat="1" applyFont="1" applyFill="1"/>
    <xf numFmtId="0" fontId="0" fillId="7" borderId="0" xfId="0" applyFont="1" applyFill="1"/>
    <xf numFmtId="4" fontId="19" fillId="8" borderId="1" xfId="0" applyNumberFormat="1" applyFont="1" applyFill="1" applyBorder="1" applyAlignment="1">
      <alignment horizontal="left" vertical="center" wrapText="1"/>
    </xf>
    <xf numFmtId="49" fontId="19" fillId="8" borderId="1" xfId="0" applyNumberFormat="1" applyFont="1" applyFill="1" applyBorder="1" applyAlignment="1">
      <alignment horizontal="center" vertical="center"/>
    </xf>
    <xf numFmtId="4" fontId="19" fillId="8" borderId="1" xfId="0" applyNumberFormat="1" applyFont="1" applyFill="1" applyBorder="1" applyAlignment="1">
      <alignment horizontal="center" vertical="center"/>
    </xf>
    <xf numFmtId="4" fontId="18" fillId="8" borderId="1" xfId="0" applyNumberFormat="1" applyFont="1" applyFill="1" applyBorder="1" applyAlignment="1">
      <alignment horizontal="left" vertical="center" wrapText="1"/>
    </xf>
    <xf numFmtId="49" fontId="18" fillId="8" borderId="1" xfId="0" applyNumberFormat="1" applyFont="1" applyFill="1" applyBorder="1" applyAlignment="1">
      <alignment horizontal="center" vertical="center"/>
    </xf>
    <xf numFmtId="4" fontId="18" fillId="8" borderId="1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Font="1"/>
    <xf numFmtId="4" fontId="19" fillId="7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0" fillId="6" borderId="0" xfId="0" applyNumberFormat="1" applyFill="1"/>
    <xf numFmtId="0" fontId="18" fillId="7" borderId="1" xfId="0" applyFont="1" applyFill="1" applyBorder="1" applyAlignment="1">
      <alignment horizontal="left" vertical="center" wrapText="1"/>
    </xf>
    <xf numFmtId="0" fontId="0" fillId="7" borderId="0" xfId="0" applyFill="1"/>
    <xf numFmtId="4" fontId="0" fillId="7" borderId="0" xfId="0" applyNumberFormat="1" applyFill="1"/>
    <xf numFmtId="49" fontId="24" fillId="7" borderId="1" xfId="0" applyNumberFormat="1" applyFont="1" applyFill="1" applyBorder="1" applyAlignment="1">
      <alignment horizontal="center" vertical="center"/>
    </xf>
    <xf numFmtId="4" fontId="24" fillId="7" borderId="1" xfId="0" applyNumberFormat="1" applyFont="1" applyFill="1" applyBorder="1" applyAlignment="1">
      <alignment horizontal="center" vertical="center"/>
    </xf>
    <xf numFmtId="0" fontId="25" fillId="7" borderId="0" xfId="0" applyFont="1" applyFill="1"/>
    <xf numFmtId="4" fontId="25" fillId="7" borderId="0" xfId="0" applyNumberFormat="1" applyFont="1" applyFill="1"/>
    <xf numFmtId="4" fontId="20" fillId="7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 wrapText="1"/>
    </xf>
    <xf numFmtId="4" fontId="5" fillId="9" borderId="1" xfId="1" applyNumberFormat="1" applyFont="1" applyFill="1" applyBorder="1" applyAlignment="1">
      <alignment horizontal="left" vertical="center" wrapText="1"/>
    </xf>
    <xf numFmtId="4" fontId="6" fillId="9" borderId="1" xfId="1" applyNumberFormat="1" applyFont="1" applyFill="1" applyBorder="1" applyAlignment="1">
      <alignment horizontal="left" vertical="center" wrapText="1"/>
    </xf>
    <xf numFmtId="165" fontId="0" fillId="0" borderId="0" xfId="0" applyNumberFormat="1"/>
    <xf numFmtId="49" fontId="6" fillId="0" borderId="0" xfId="1" applyNumberFormat="1" applyFont="1" applyFill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left" vertical="center" wrapText="1"/>
    </xf>
    <xf numFmtId="4" fontId="7" fillId="7" borderId="1" xfId="1" applyNumberFormat="1" applyFont="1" applyFill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center" vertical="center"/>
    </xf>
    <xf numFmtId="4" fontId="17" fillId="0" borderId="0" xfId="0" applyNumberFormat="1" applyFont="1"/>
    <xf numFmtId="0" fontId="17" fillId="0" borderId="0" xfId="0" applyFont="1"/>
    <xf numFmtId="4" fontId="19" fillId="0" borderId="1" xfId="0" applyNumberFormat="1" applyFont="1" applyFill="1" applyBorder="1" applyAlignment="1">
      <alignment horizontal="left" vertical="center" wrapText="1"/>
    </xf>
    <xf numFmtId="49" fontId="19" fillId="7" borderId="1" xfId="0" applyNumberFormat="1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26" fillId="0" borderId="0" xfId="0" applyFont="1"/>
    <xf numFmtId="0" fontId="20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49" fontId="6" fillId="7" borderId="1" xfId="1" applyNumberFormat="1" applyFont="1" applyFill="1" applyBorder="1" applyAlignment="1">
      <alignment horizontal="center" vertical="center"/>
    </xf>
    <xf numFmtId="4" fontId="19" fillId="11" borderId="1" xfId="0" applyNumberFormat="1" applyFont="1" applyFill="1" applyBorder="1" applyAlignment="1">
      <alignment horizontal="left" vertical="center" wrapText="1"/>
    </xf>
    <xf numFmtId="49" fontId="7" fillId="11" borderId="1" xfId="1" applyNumberFormat="1" applyFont="1" applyFill="1" applyBorder="1" applyAlignment="1">
      <alignment horizontal="center" vertical="center"/>
    </xf>
    <xf numFmtId="4" fontId="19" fillId="11" borderId="1" xfId="0" applyNumberFormat="1" applyFont="1" applyFill="1" applyBorder="1" applyAlignment="1">
      <alignment horizontal="center" vertical="center"/>
    </xf>
    <xf numFmtId="4" fontId="21" fillId="7" borderId="9" xfId="0" applyNumberFormat="1" applyFont="1" applyFill="1" applyBorder="1" applyAlignment="1">
      <alignment horizontal="left"/>
    </xf>
    <xf numFmtId="4" fontId="18" fillId="7" borderId="3" xfId="0" applyNumberFormat="1" applyFont="1" applyFill="1" applyBorder="1" applyAlignment="1">
      <alignment horizontal="center"/>
    </xf>
    <xf numFmtId="4" fontId="20" fillId="7" borderId="1" xfId="0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22" fillId="0" borderId="1" xfId="3" applyFont="1" applyBorder="1" applyAlignment="1">
      <alignment wrapText="1"/>
    </xf>
    <xf numFmtId="0" fontId="21" fillId="0" borderId="1" xfId="3" applyFont="1" applyBorder="1" applyAlignment="1">
      <alignment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0" fontId="23" fillId="0" borderId="0" xfId="0" applyFont="1"/>
    <xf numFmtId="0" fontId="22" fillId="0" borderId="0" xfId="0" applyFont="1" applyAlignment="1">
      <alignment horizontal="centerContinuous" vertical="center"/>
    </xf>
    <xf numFmtId="49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5" xfId="0" applyNumberFormat="1" applyFont="1" applyBorder="1" applyAlignment="1">
      <alignment horizontal="center"/>
    </xf>
    <xf numFmtId="49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0" fontId="23" fillId="0" borderId="1" xfId="0" applyFont="1" applyBorder="1"/>
    <xf numFmtId="4" fontId="21" fillId="0" borderId="0" xfId="0" applyNumberFormat="1" applyFont="1" applyFill="1" applyAlignment="1">
      <alignment horizontal="center" vertical="center"/>
    </xf>
    <xf numFmtId="0" fontId="23" fillId="7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22" fillId="0" borderId="1" xfId="0" applyNumberFormat="1" applyFont="1" applyFill="1" applyBorder="1" applyAlignment="1">
      <alignment horizontal="centerContinuous" vertical="center" wrapText="1"/>
    </xf>
    <xf numFmtId="49" fontId="21" fillId="0" borderId="1" xfId="0" applyNumberFormat="1" applyFont="1" applyFill="1" applyBorder="1" applyAlignment="1">
      <alignment horizontal="centerContinuous" vertical="center"/>
    </xf>
    <xf numFmtId="4" fontId="21" fillId="0" borderId="1" xfId="0" applyNumberFormat="1" applyFont="1" applyFill="1" applyBorder="1" applyAlignment="1">
      <alignment horizontal="centerContinuous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right" vertical="center" wrapText="1"/>
    </xf>
    <xf numFmtId="49" fontId="21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7" fillId="0" borderId="0" xfId="0" applyFont="1"/>
    <xf numFmtId="4" fontId="27" fillId="0" borderId="0" xfId="0" applyNumberFormat="1" applyFont="1"/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/>
    </xf>
    <xf numFmtId="0" fontId="29" fillId="10" borderId="1" xfId="0" applyFont="1" applyFill="1" applyBorder="1" applyAlignment="1">
      <alignment horizontal="left" vertical="center" wrapText="1"/>
    </xf>
    <xf numFmtId="49" fontId="29" fillId="10" borderId="1" xfId="0" applyNumberFormat="1" applyFont="1" applyFill="1" applyBorder="1" applyAlignment="1">
      <alignment horizontal="center" vertical="center"/>
    </xf>
    <xf numFmtId="4" fontId="29" fillId="10" borderId="1" xfId="0" applyNumberFormat="1" applyFont="1" applyFill="1" applyBorder="1" applyAlignment="1">
      <alignment horizontal="center" vertical="center"/>
    </xf>
    <xf numFmtId="4" fontId="28" fillId="10" borderId="1" xfId="0" applyNumberFormat="1" applyFont="1" applyFill="1" applyBorder="1" applyAlignment="1">
      <alignment horizontal="center" vertical="center"/>
    </xf>
    <xf numFmtId="165" fontId="27" fillId="0" borderId="0" xfId="0" applyNumberFormat="1" applyFont="1"/>
    <xf numFmtId="0" fontId="29" fillId="10" borderId="1" xfId="0" applyFont="1" applyFill="1" applyBorder="1" applyAlignment="1">
      <alignment vertical="center" wrapText="1"/>
    </xf>
    <xf numFmtId="4" fontId="29" fillId="10" borderId="0" xfId="0" applyNumberFormat="1" applyFont="1" applyFill="1" applyAlignment="1">
      <alignment horizontal="center" vertical="center"/>
    </xf>
    <xf numFmtId="4" fontId="27" fillId="10" borderId="0" xfId="0" applyNumberFormat="1" applyFont="1" applyFill="1"/>
    <xf numFmtId="0" fontId="27" fillId="10" borderId="0" xfId="0" applyFont="1" applyFill="1"/>
    <xf numFmtId="0" fontId="29" fillId="7" borderId="1" xfId="0" applyFont="1" applyFill="1" applyBorder="1" applyAlignment="1">
      <alignment horizontal="left" vertical="center" wrapText="1"/>
    </xf>
    <xf numFmtId="49" fontId="29" fillId="7" borderId="1" xfId="0" applyNumberFormat="1" applyFont="1" applyFill="1" applyBorder="1" applyAlignment="1">
      <alignment horizontal="center" vertical="center"/>
    </xf>
    <xf numFmtId="4" fontId="29" fillId="7" borderId="1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left" vertical="center" wrapText="1"/>
    </xf>
    <xf numFmtId="49" fontId="28" fillId="8" borderId="1" xfId="0" applyNumberFormat="1" applyFont="1" applyFill="1" applyBorder="1" applyAlignment="1">
      <alignment horizontal="center" vertical="center"/>
    </xf>
    <xf numFmtId="4" fontId="28" fillId="8" borderId="1" xfId="0" applyNumberFormat="1" applyFont="1" applyFill="1" applyBorder="1" applyAlignment="1">
      <alignment horizontal="center" vertical="center"/>
    </xf>
    <xf numFmtId="0" fontId="29" fillId="7" borderId="1" xfId="0" applyFont="1" applyFill="1" applyBorder="1"/>
    <xf numFmtId="4" fontId="30" fillId="10" borderId="1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29" fillId="7" borderId="1" xfId="0" applyFont="1" applyFill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right" vertical="center" wrapText="1"/>
    </xf>
    <xf numFmtId="49" fontId="29" fillId="6" borderId="1" xfId="0" applyNumberFormat="1" applyFont="1" applyFill="1" applyBorder="1" applyAlignment="1">
      <alignment horizontal="center" vertical="center"/>
    </xf>
    <xf numFmtId="4" fontId="29" fillId="6" borderId="1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4" fontId="27" fillId="6" borderId="0" xfId="0" applyNumberFormat="1" applyFont="1" applyFill="1"/>
    <xf numFmtId="0" fontId="27" fillId="6" borderId="0" xfId="0" applyFont="1" applyFill="1"/>
    <xf numFmtId="49" fontId="32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0" fontId="33" fillId="9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0" fontId="34" fillId="0" borderId="0" xfId="0" applyFont="1"/>
    <xf numFmtId="4" fontId="34" fillId="0" borderId="0" xfId="0" applyNumberFormat="1" applyFont="1"/>
    <xf numFmtId="0" fontId="33" fillId="1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horizontal="right" vertical="center" wrapText="1"/>
    </xf>
    <xf numFmtId="49" fontId="32" fillId="6" borderId="1" xfId="0" applyNumberFormat="1" applyFont="1" applyFill="1" applyBorder="1" applyAlignment="1">
      <alignment horizontal="center" vertical="center"/>
    </xf>
    <xf numFmtId="4" fontId="32" fillId="6" borderId="1" xfId="0" applyNumberFormat="1" applyFont="1" applyFill="1" applyBorder="1" applyAlignment="1">
      <alignment horizontal="center" vertical="center"/>
    </xf>
    <xf numFmtId="3" fontId="32" fillId="6" borderId="1" xfId="0" applyNumberFormat="1" applyFont="1" applyFill="1" applyBorder="1" applyAlignment="1">
      <alignment horizontal="center" vertical="center"/>
    </xf>
    <xf numFmtId="4" fontId="32" fillId="6" borderId="0" xfId="0" applyNumberFormat="1" applyFont="1" applyFill="1" applyAlignment="1">
      <alignment horizontal="center" vertical="center"/>
    </xf>
    <xf numFmtId="4" fontId="35" fillId="0" borderId="0" xfId="0" applyNumberFormat="1" applyFont="1"/>
    <xf numFmtId="0" fontId="35" fillId="0" borderId="0" xfId="0" applyFont="1"/>
    <xf numFmtId="0" fontId="33" fillId="8" borderId="10" xfId="0" applyFont="1" applyFill="1" applyBorder="1" applyAlignment="1">
      <alignment horizontal="right" vertical="center" wrapText="1"/>
    </xf>
    <xf numFmtId="49" fontId="33" fillId="8" borderId="10" xfId="0" applyNumberFormat="1" applyFont="1" applyFill="1" applyBorder="1" applyAlignment="1">
      <alignment horizontal="center" vertical="center"/>
    </xf>
    <xf numFmtId="4" fontId="33" fillId="8" borderId="10" xfId="0" applyNumberFormat="1" applyFont="1" applyFill="1" applyBorder="1" applyAlignment="1">
      <alignment horizontal="center" vertical="center"/>
    </xf>
    <xf numFmtId="4" fontId="33" fillId="8" borderId="0" xfId="0" applyNumberFormat="1" applyFont="1" applyFill="1" applyAlignment="1">
      <alignment horizontal="center" vertical="center"/>
    </xf>
    <xf numFmtId="0" fontId="33" fillId="7" borderId="1" xfId="3" applyFont="1" applyFill="1" applyBorder="1" applyAlignment="1">
      <alignment horizontal="left" wrapText="1"/>
    </xf>
    <xf numFmtId="4" fontId="33" fillId="7" borderId="1" xfId="0" applyNumberFormat="1" applyFont="1" applyFill="1" applyBorder="1" applyAlignment="1">
      <alignment horizontal="center" vertical="center"/>
    </xf>
    <xf numFmtId="4" fontId="33" fillId="7" borderId="1" xfId="0" applyNumberFormat="1" applyFont="1" applyFill="1" applyBorder="1" applyAlignment="1">
      <alignment horizontal="center"/>
    </xf>
    <xf numFmtId="4" fontId="34" fillId="7" borderId="1" xfId="0" applyNumberFormat="1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4" fontId="33" fillId="7" borderId="0" xfId="0" applyNumberFormat="1" applyFont="1" applyFill="1" applyAlignment="1">
      <alignment horizontal="center" vertical="center"/>
    </xf>
    <xf numFmtId="4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4" fontId="34" fillId="7" borderId="0" xfId="0" applyNumberFormat="1" applyFont="1" applyFill="1"/>
    <xf numFmtId="0" fontId="34" fillId="7" borderId="0" xfId="0" applyFont="1" applyFill="1"/>
    <xf numFmtId="0" fontId="36" fillId="7" borderId="1" xfId="0" applyFont="1" applyFill="1" applyBorder="1" applyAlignment="1">
      <alignment horizontal="justify"/>
    </xf>
    <xf numFmtId="49" fontId="33" fillId="7" borderId="2" xfId="0" applyNumberFormat="1" applyFont="1" applyFill="1" applyBorder="1" applyAlignment="1">
      <alignment horizontal="center" vertical="center"/>
    </xf>
    <xf numFmtId="4" fontId="33" fillId="7" borderId="2" xfId="0" applyNumberFormat="1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 vertical="center"/>
    </xf>
    <xf numFmtId="4" fontId="33" fillId="3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49" fontId="33" fillId="0" borderId="3" xfId="0" applyNumberFormat="1" applyFont="1" applyBorder="1" applyAlignment="1">
      <alignment horizontal="center"/>
    </xf>
    <xf numFmtId="4" fontId="33" fillId="0" borderId="9" xfId="0" applyNumberFormat="1" applyFont="1" applyBorder="1" applyAlignment="1">
      <alignment horizontal="center" vertical="center"/>
    </xf>
    <xf numFmtId="4" fontId="34" fillId="0" borderId="1" xfId="0" applyNumberFormat="1" applyFont="1" applyBorder="1"/>
    <xf numFmtId="166" fontId="33" fillId="0" borderId="9" xfId="0" applyNumberFormat="1" applyFont="1" applyBorder="1" applyAlignment="1">
      <alignment horizontal="center" vertical="center"/>
    </xf>
    <xf numFmtId="4" fontId="34" fillId="0" borderId="1" xfId="0" applyNumberFormat="1" applyFont="1" applyFill="1" applyBorder="1"/>
    <xf numFmtId="4" fontId="34" fillId="6" borderId="1" xfId="0" applyNumberFormat="1" applyFont="1" applyFill="1" applyBorder="1"/>
    <xf numFmtId="49" fontId="33" fillId="0" borderId="4" xfId="0" applyNumberFormat="1" applyFont="1" applyBorder="1" applyAlignment="1">
      <alignment horizontal="center"/>
    </xf>
    <xf numFmtId="4" fontId="33" fillId="0" borderId="8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166" fontId="34" fillId="0" borderId="0" xfId="0" applyNumberFormat="1" applyFont="1"/>
    <xf numFmtId="0" fontId="33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Continuous" vertical="center"/>
    </xf>
    <xf numFmtId="4" fontId="33" fillId="0" borderId="1" xfId="0" applyNumberFormat="1" applyFont="1" applyBorder="1" applyAlignment="1">
      <alignment horizontal="centerContinuous" vertical="center"/>
    </xf>
    <xf numFmtId="0" fontId="32" fillId="0" borderId="1" xfId="0" applyFont="1" applyFill="1" applyBorder="1" applyAlignment="1">
      <alignment horizontal="centerContinuous" vertical="center"/>
    </xf>
    <xf numFmtId="0" fontId="34" fillId="0" borderId="1" xfId="0" applyFont="1" applyBorder="1" applyAlignment="1">
      <alignment horizontal="centerContinuous"/>
    </xf>
    <xf numFmtId="0" fontId="32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right" vertical="center" wrapText="1"/>
    </xf>
    <xf numFmtId="0" fontId="34" fillId="0" borderId="1" xfId="0" applyFont="1" applyBorder="1"/>
    <xf numFmtId="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33" fillId="8" borderId="1" xfId="0" applyNumberFormat="1" applyFont="1" applyFill="1" applyBorder="1" applyAlignment="1">
      <alignment horizontal="left" vertical="center" wrapText="1"/>
    </xf>
    <xf numFmtId="49" fontId="33" fillId="8" borderId="1" xfId="0" applyNumberFormat="1" applyFont="1" applyFill="1" applyBorder="1" applyAlignment="1">
      <alignment horizontal="center" vertical="center"/>
    </xf>
    <xf numFmtId="4" fontId="33" fillId="8" borderId="1" xfId="0" applyNumberFormat="1" applyFont="1" applyFill="1" applyBorder="1" applyAlignment="1">
      <alignment horizontal="center" vertical="center"/>
    </xf>
    <xf numFmtId="4" fontId="33" fillId="7" borderId="1" xfId="0" applyNumberFormat="1" applyFont="1" applyFill="1" applyBorder="1" applyAlignment="1">
      <alignment wrapText="1"/>
    </xf>
    <xf numFmtId="49" fontId="33" fillId="7" borderId="1" xfId="0" applyNumberFormat="1" applyFont="1" applyFill="1" applyBorder="1" applyAlignment="1">
      <alignment horizontal="center" vertical="center"/>
    </xf>
    <xf numFmtId="4" fontId="33" fillId="7" borderId="1" xfId="0" applyNumberFormat="1" applyFont="1" applyFill="1" applyBorder="1" applyAlignment="1">
      <alignment horizontal="left" vertical="center" wrapText="1"/>
    </xf>
    <xf numFmtId="4" fontId="32" fillId="7" borderId="1" xfId="0" applyNumberFormat="1" applyFont="1" applyFill="1" applyBorder="1" applyAlignment="1">
      <alignment horizontal="center" vertical="center"/>
    </xf>
    <xf numFmtId="4" fontId="32" fillId="8" borderId="1" xfId="0" applyNumberFormat="1" applyFont="1" applyFill="1" applyBorder="1" applyAlignment="1">
      <alignment horizontal="left" vertical="center" wrapText="1"/>
    </xf>
    <xf numFmtId="49" fontId="32" fillId="8" borderId="1" xfId="0" applyNumberFormat="1" applyFont="1" applyFill="1" applyBorder="1" applyAlignment="1">
      <alignment horizontal="center" vertical="center"/>
    </xf>
    <xf numFmtId="4" fontId="32" fillId="8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4" fontId="32" fillId="9" borderId="1" xfId="0" applyNumberFormat="1" applyFont="1" applyFill="1" applyBorder="1" applyAlignment="1">
      <alignment horizontal="left" vertical="center" wrapText="1"/>
    </xf>
    <xf numFmtId="49" fontId="12" fillId="9" borderId="1" xfId="1" applyNumberFormat="1" applyFont="1" applyFill="1" applyBorder="1" applyAlignment="1">
      <alignment horizontal="center" vertical="center"/>
    </xf>
    <xf numFmtId="4" fontId="32" fillId="9" borderId="1" xfId="0" applyNumberFormat="1" applyFont="1" applyFill="1" applyBorder="1" applyAlignment="1">
      <alignment horizontal="center" vertical="center"/>
    </xf>
    <xf numFmtId="4" fontId="33" fillId="9" borderId="0" xfId="0" applyNumberFormat="1" applyFont="1" applyFill="1" applyAlignment="1">
      <alignment horizontal="center" vertical="center"/>
    </xf>
    <xf numFmtId="4" fontId="34" fillId="9" borderId="0" xfId="0" applyNumberFormat="1" applyFont="1" applyFill="1"/>
    <xf numFmtId="0" fontId="34" fillId="9" borderId="0" xfId="0" applyFont="1" applyFill="1"/>
    <xf numFmtId="49" fontId="13" fillId="7" borderId="1" xfId="1" applyNumberFormat="1" applyFont="1" applyFill="1" applyBorder="1" applyAlignment="1">
      <alignment horizontal="center" vertical="center"/>
    </xf>
    <xf numFmtId="4" fontId="33" fillId="7" borderId="1" xfId="0" applyNumberFormat="1" applyFont="1" applyFill="1" applyBorder="1" applyAlignment="1">
      <alignment horizontal="left"/>
    </xf>
    <xf numFmtId="4" fontId="37" fillId="7" borderId="1" xfId="0" applyNumberFormat="1" applyFont="1" applyFill="1" applyBorder="1" applyAlignment="1">
      <alignment horizontal="center"/>
    </xf>
    <xf numFmtId="4" fontId="33" fillId="0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" fontId="33" fillId="10" borderId="1" xfId="0" applyNumberFormat="1" applyFont="1" applyFill="1" applyBorder="1" applyAlignment="1">
      <alignment horizontal="left" vertical="center" wrapText="1"/>
    </xf>
    <xf numFmtId="49" fontId="13" fillId="10" borderId="0" xfId="1" applyNumberFormat="1" applyFont="1" applyFill="1" applyAlignment="1">
      <alignment horizontal="center" vertical="center"/>
    </xf>
    <xf numFmtId="4" fontId="33" fillId="10" borderId="1" xfId="0" applyNumberFormat="1" applyFont="1" applyFill="1" applyBorder="1" applyAlignment="1">
      <alignment horizontal="center" vertical="center"/>
    </xf>
    <xf numFmtId="4" fontId="33" fillId="10" borderId="0" xfId="0" applyNumberFormat="1" applyFont="1" applyFill="1" applyAlignment="1">
      <alignment horizontal="center" vertical="center"/>
    </xf>
    <xf numFmtId="4" fontId="34" fillId="10" borderId="0" xfId="0" applyNumberFormat="1" applyFont="1" applyFill="1"/>
    <xf numFmtId="0" fontId="34" fillId="10" borderId="0" xfId="0" applyFont="1" applyFill="1"/>
    <xf numFmtId="2" fontId="34" fillId="10" borderId="0" xfId="0" applyNumberFormat="1" applyFont="1" applyFill="1"/>
    <xf numFmtId="49" fontId="13" fillId="10" borderId="1" xfId="1" applyNumberFormat="1" applyFont="1" applyFill="1" applyBorder="1" applyAlignment="1">
      <alignment horizontal="center" vertical="center"/>
    </xf>
    <xf numFmtId="49" fontId="33" fillId="1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Continuous" vertical="center" wrapText="1"/>
    </xf>
    <xf numFmtId="49" fontId="33" fillId="0" borderId="1" xfId="0" applyNumberFormat="1" applyFont="1" applyFill="1" applyBorder="1" applyAlignment="1">
      <alignment horizontal="centerContinuous" vertical="center"/>
    </xf>
    <xf numFmtId="4" fontId="33" fillId="0" borderId="1" xfId="0" applyNumberFormat="1" applyFont="1" applyFill="1" applyBorder="1" applyAlignment="1">
      <alignment horizontal="centerContinuous" vertical="center"/>
    </xf>
    <xf numFmtId="4" fontId="32" fillId="0" borderId="1" xfId="0" applyNumberFormat="1" applyFont="1" applyFill="1" applyBorder="1" applyAlignment="1">
      <alignment horizontal="left" vertical="center" wrapText="1"/>
    </xf>
    <xf numFmtId="49" fontId="32" fillId="7" borderId="1" xfId="0" applyNumberFormat="1" applyFont="1" applyFill="1" applyBorder="1" applyAlignment="1">
      <alignment horizontal="center" vertical="center"/>
    </xf>
    <xf numFmtId="4" fontId="14" fillId="7" borderId="1" xfId="1" applyNumberFormat="1" applyFont="1" applyFill="1" applyBorder="1" applyAlignment="1">
      <alignment horizontal="left" vertical="center" wrapText="1"/>
    </xf>
    <xf numFmtId="4" fontId="14" fillId="9" borderId="1" xfId="1" applyNumberFormat="1" applyFont="1" applyFill="1" applyBorder="1" applyAlignment="1">
      <alignment horizontal="left" vertical="center" wrapText="1"/>
    </xf>
    <xf numFmtId="4" fontId="13" fillId="9" borderId="1" xfId="1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2" fillId="7" borderId="1" xfId="1" applyNumberFormat="1" applyFont="1" applyFill="1" applyBorder="1" applyAlignment="1">
      <alignment horizontal="left" vertical="center" wrapText="1"/>
    </xf>
    <xf numFmtId="4" fontId="13" fillId="7" borderId="1" xfId="1" applyNumberFormat="1" applyFont="1" applyFill="1" applyBorder="1" applyAlignment="1">
      <alignment horizontal="left" vertical="center" wrapText="1"/>
    </xf>
    <xf numFmtId="4" fontId="33" fillId="0" borderId="1" xfId="1" applyNumberFormat="1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7" fillId="7" borderId="0" xfId="0" applyFont="1" applyFill="1"/>
    <xf numFmtId="4" fontId="29" fillId="0" borderId="7" xfId="0" applyNumberFormat="1" applyFont="1" applyFill="1" applyBorder="1" applyAlignment="1">
      <alignment horizontal="center" vertical="center"/>
    </xf>
    <xf numFmtId="4" fontId="33" fillId="6" borderId="1" xfId="0" applyNumberFormat="1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horizontal="right" vertical="center" wrapText="1"/>
    </xf>
    <xf numFmtId="49" fontId="33" fillId="12" borderId="1" xfId="0" applyNumberFormat="1" applyFont="1" applyFill="1" applyBorder="1" applyAlignment="1">
      <alignment horizontal="center" vertical="center"/>
    </xf>
    <xf numFmtId="4" fontId="33" fillId="12" borderId="1" xfId="0" applyNumberFormat="1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horizontal="center" vertical="center"/>
    </xf>
    <xf numFmtId="0" fontId="34" fillId="12" borderId="0" xfId="0" applyFont="1" applyFill="1"/>
    <xf numFmtId="0" fontId="19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22" fillId="0" borderId="1" xfId="3" applyFont="1" applyBorder="1" applyAlignment="1">
      <alignment wrapText="1"/>
    </xf>
    <xf numFmtId="0" fontId="21" fillId="0" borderId="1" xfId="3" applyFont="1" applyBorder="1" applyAlignment="1">
      <alignment wrapText="1"/>
    </xf>
    <xf numFmtId="0" fontId="21" fillId="0" borderId="9" xfId="3" applyFont="1" applyBorder="1" applyAlignment="1">
      <alignment horizontal="center" wrapText="1"/>
    </xf>
    <xf numFmtId="0" fontId="21" fillId="0" borderId="11" xfId="3" applyFont="1" applyBorder="1" applyAlignment="1">
      <alignment horizontal="center" wrapText="1"/>
    </xf>
    <xf numFmtId="0" fontId="21" fillId="0" borderId="3" xfId="3" applyFont="1" applyBorder="1" applyAlignment="1">
      <alignment horizontal="center" wrapText="1"/>
    </xf>
    <xf numFmtId="0" fontId="22" fillId="0" borderId="9" xfId="3" applyFont="1" applyBorder="1" applyAlignment="1">
      <alignment horizontal="left" vertical="center" wrapText="1"/>
    </xf>
    <xf numFmtId="0" fontId="22" fillId="0" borderId="11" xfId="3" applyFont="1" applyBorder="1" applyAlignment="1">
      <alignment horizontal="left" vertical="center" wrapText="1"/>
    </xf>
    <xf numFmtId="0" fontId="22" fillId="0" borderId="3" xfId="3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</cellXfs>
  <cellStyles count="4">
    <cellStyle name="Excel Built-in Normal" xfId="1"/>
    <cellStyle name="xl33" xfId="2"/>
    <cellStyle name="Обычный" xfId="0" builtinId="0"/>
    <cellStyle name="Обычный 2" xfId="3"/>
  </cellStyles>
  <dxfs count="37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6"/>
        <color theme="1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righ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numFmt numFmtId="30" formatCode="@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numFmt numFmtId="30" formatCode="@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_2020" displayName="_2020" ref="A17:F34" totalsRowCount="1" headerRowDxfId="357" dataDxfId="356" totalsRowDxfId="355" tableBorderDxfId="354">
  <autoFilter ref="A17:F33"/>
  <tableColumns count="6">
    <tableColumn id="1" name="Наименование мероприятия" totalsRowLabel="Итог" dataDxfId="368" totalsRowDxfId="369"/>
    <tableColumn id="6" name="Год реализации" dataDxfId="366" totalsRowDxfId="367"/>
    <tableColumn id="3" name="Местный бюджет" totalsRowFunction="sum" dataDxfId="364" totalsRowDxfId="365"/>
    <tableColumn id="4" name="Областной бюджет" totalsRowFunction="sum" dataDxfId="362" totalsRowDxfId="363"/>
    <tableColumn id="5" name="Федеральный Бюджет" totalsRowFunction="sum" dataDxfId="360" totalsRowDxfId="361"/>
    <tableColumn id="2" name="Сумма" totalsRowFunction="sum" dataDxfId="358" totalsRowDxfId="359">
      <calculatedColumnFormula>'2020'!$C18+'2020'!$D18+'2020'!$E18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7" name="_20211018" displayName="_20211018" ref="A36:H59" totalsRowCount="1" headerRowDxfId="214" dataDxfId="213" totalsRowDxfId="212" tableBorderDxfId="211">
  <autoFilter ref="A36:H58"/>
  <tableColumns count="8">
    <tableColumn id="1" name="Наименование мероприятия" totalsRowLabel="Итог" dataDxfId="229" totalsRowDxfId="230"/>
    <tableColumn id="6" name="Год реализации" dataDxfId="227" totalsRowDxfId="228"/>
    <tableColumn id="2" name="Местный бюджет" totalsRowFunction="custom" dataDxfId="225" totalsRowDxfId="226">
      <totalsRowFormula>C57+C58+C49+C46+C38+C37</totalsRowFormula>
    </tableColumn>
    <tableColumn id="3" name="Областной бюджет" totalsRowFunction="custom" dataDxfId="223" totalsRowDxfId="224">
      <totalsRowFormula>D57+D58+D49+D46+D38+D37</totalsRowFormula>
    </tableColumn>
    <tableColumn id="4" name="Федеральный Бюджет" totalsRowFunction="sum" dataDxfId="221" totalsRowDxfId="222"/>
    <tableColumn id="5" name="Сумма" totalsRowLabel="102 616,57" dataDxfId="219" totalsRowDxfId="220">
      <calculatedColumnFormula>SUM('2023'!$C37:$E37)</calculatedColumnFormula>
    </tableColumn>
    <tableColumn id="7" name="Столбец1" dataDxfId="217" totalsRowDxfId="218"/>
    <tableColumn id="8" name="Столбец2" dataDxfId="215" totalsRowDxfId="216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8" name="_20221219" displayName="_20221219" ref="A61:G94" totalsRowCount="1" headerRowDxfId="196" dataDxfId="195" totalsRowDxfId="194" tableBorderDxfId="193">
  <autoFilter ref="A61:G93"/>
  <tableColumns count="7">
    <tableColumn id="1" name="Наименование мероприятия" totalsRowLabel="Итог" dataDxfId="209" totalsRowDxfId="210"/>
    <tableColumn id="6" name="Год реализации" dataDxfId="207" totalsRowDxfId="208" dataCellStyle="Excel Built-in Normal"/>
    <tableColumn id="2" name="Местный бюджет" totalsRowFunction="custom" dataDxfId="205" totalsRowDxfId="206">
      <totalsRowFormula>C93+C92+C91+C90+C89+C88+C87+C86+C85+C73+C63+C62+C84</totalsRowFormula>
    </tableColumn>
    <tableColumn id="3" name="Областной бюджет" totalsRowFunction="custom" dataDxfId="203" totalsRowDxfId="204">
      <totalsRowFormula>D84+D85+D86+D87+D88+D89+D90+D91+D92+D93+D69+D73</totalsRowFormula>
    </tableColumn>
    <tableColumn id="4" name="Федеральный Бюджет" totalsRowFunction="sum" dataDxfId="201" totalsRowDxfId="202"/>
    <tableColumn id="5" name="Сумма" totalsRowFunction="custom" dataDxfId="199" totalsRowDxfId="200">
      <calculatedColumnFormula>'2023'!$C62+'2023'!$D62+'2023'!$E62</calculatedColumnFormula>
      <totalsRowFormula>F93+F92+F91+F90+F89+F88+F87+F86+F85+F84+F73+F63+F62</totalsRowFormula>
    </tableColumn>
    <tableColumn id="7" name="Столбец1" dataDxfId="197" totalsRowDxfId="198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9" name="_20231320" displayName="_20231320" ref="A96:J110" totalsRowCount="1" headerRowDxfId="172" dataDxfId="171" tableBorderDxfId="170">
  <autoFilter ref="A96:J109"/>
  <tableColumns count="10">
    <tableColumn id="1" name="Наименование мероприятия" totalsRowLabel="Итог" dataDxfId="191" totalsRowDxfId="192"/>
    <tableColumn id="6" name="Год реализации" dataDxfId="189" totalsRowDxfId="190"/>
    <tableColumn id="2" name="Местный бюджет" totalsRowFunction="custom" dataDxfId="187" totalsRowDxfId="188">
      <totalsRowFormula>C97+C98+C99+C100+C101+C103+C104+C105+C106+C107+C108+C109</totalsRowFormula>
    </tableColumn>
    <tableColumn id="3" name="Областной бюджет" totalsRowFunction="sum" dataDxfId="185" totalsRowDxfId="186"/>
    <tableColumn id="4" name="Федеральный Бюджет" dataDxfId="183" totalsRowDxfId="184"/>
    <tableColumn id="5" name="Сумма" totalsRowFunction="custom" dataDxfId="181" totalsRowDxfId="182">
      <totalsRowFormula>F97+F98+F99+F100+F101+F103+F104+F105+F106+F107+F108+F109</totalsRowFormula>
    </tableColumn>
    <tableColumn id="7" name="Столбец1" dataDxfId="179" totalsRowDxfId="180">
      <calculatedColumnFormula>'2023'!$C97+'2023'!$D97</calculatedColumnFormula>
    </tableColumn>
    <tableColumn id="8" name="5 684,00" dataDxfId="177" totalsRowDxfId="178">
      <calculatedColumnFormula>'2023'!$C97+'2023'!$D97</calculatedColumnFormula>
    </tableColumn>
    <tableColumn id="9" name="Столбец3" dataDxfId="175" totalsRowDxfId="176"/>
    <tableColumn id="10" name="Столбец4" dataDxfId="173" totalsRowDxfId="174">
      <calculatedColumnFormula>F98*5%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0" name="_20241421" displayName="_20241421" ref="A112:G132" totalsRowCount="1" headerRowDxfId="155" dataDxfId="154" tableBorderDxfId="153">
  <autoFilter ref="A112:G131"/>
  <tableColumns count="7">
    <tableColumn id="1" name="Наименование мероприятия" totalsRowLabel="Итог" dataDxfId="168" totalsRowDxfId="169"/>
    <tableColumn id="6" name="Год реализации" dataDxfId="166" totalsRowDxfId="167"/>
    <tableColumn id="2" name="Местный бюджет" totalsRowFunction="custom" dataDxfId="164" totalsRowDxfId="165">
      <totalsRowFormula>C131+C130+C129+C128+C127+C126+C125+C124+C123+C122+C121+C120+C118+C117+C116+C115+C114</totalsRowFormula>
    </tableColumn>
    <tableColumn id="3" name="Областной бюджет" totalsRowFunction="sum" dataDxfId="162" totalsRowDxfId="163"/>
    <tableColumn id="4" name="Федеральный Бюджет" totalsRowFunction="sum" dataDxfId="160" totalsRowDxfId="161"/>
    <tableColumn id="5" name="Сумма" totalsRowFunction="sum" dataDxfId="158" totalsRowDxfId="159"/>
    <tableColumn id="7" name="Столбец1" dataDxfId="156" totalsRowDxfId="157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1" name="_20251522" displayName="_20251522" ref="A134:J151" totalsRowCount="1" headerRowDxfId="132" dataDxfId="131" tableBorderDxfId="130">
  <autoFilter ref="A134:J150"/>
  <tableColumns count="10">
    <tableColumn id="1" name="Наименование мероприятия" totalsRowLabel="Итог" dataDxfId="151" totalsRowDxfId="152"/>
    <tableColumn id="6" name="Год реализации" dataDxfId="149" totalsRowDxfId="150"/>
    <tableColumn id="2" name="Местный бюджет" totalsRowFunction="custom" dataDxfId="147" totalsRowDxfId="148">
      <totalsRowFormula>C135+C136+C137+C138+C139+C140+C141+C143+C142+C144+C145+C146+C147+C148</totalsRowFormula>
    </tableColumn>
    <tableColumn id="3" name="Областной бюджет" totalsRowFunction="custom" dataDxfId="145" totalsRowDxfId="146">
      <totalsRowFormula>D135+D136+D137+D138+D139+D140+D141+D143+D142+D144+D145+D146+D147+D148</totalsRowFormula>
    </tableColumn>
    <tableColumn id="4" name="Федеральный Бюджет" dataDxfId="143" totalsRowDxfId="144"/>
    <tableColumn id="5" name="Сумма" totalsRowFunction="custom" dataDxfId="141" totalsRowDxfId="142">
      <totalsRowFormula>F148+F147+F146+F145+F144+F143+F142+F141+F140+F139+F138+F137+F136+F135</totalsRowFormula>
    </tableColumn>
    <tableColumn id="7" name="Столбец1" dataDxfId="139" totalsRowDxfId="140"/>
    <tableColumn id="8" name="Столбец2" dataDxfId="137" totalsRowDxfId="138"/>
    <tableColumn id="9" name="Столбец3" dataDxfId="135" totalsRowDxfId="136"/>
    <tableColumn id="10" name="Столбец4" dataDxfId="133" totalsRowDxfId="134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" name="_20202" displayName="_20202" ref="A17:F34" totalsRowCount="1" headerRowDxfId="117" dataDxfId="116" totalsRowDxfId="115" tableBorderDxfId="114">
  <autoFilter ref="A17:F33"/>
  <tableColumns count="6">
    <tableColumn id="1" name="Наименование мероприятия" totalsRowLabel="Итог" dataDxfId="128" totalsRowDxfId="129"/>
    <tableColumn id="6" name="Год реализации" dataDxfId="126" totalsRowDxfId="127"/>
    <tableColumn id="3" name="Местный бюджет" totalsRowFunction="sum" dataDxfId="124" totalsRowDxfId="125"/>
    <tableColumn id="4" name="Областной бюджет" totalsRowFunction="sum" dataDxfId="122" totalsRowDxfId="123"/>
    <tableColumn id="5" name="Федеральный Бюджет" totalsRowFunction="sum" dataDxfId="120" totalsRowDxfId="121"/>
    <tableColumn id="2" name="Сумма" totalsRowFunction="sum" dataDxfId="118" totalsRowDxfId="119">
      <calculatedColumnFormula>'2023 уточнение'!$C18+'2023 уточнение'!$D18+'2023 уточнение'!$E18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8" name="Таблица8119" displayName="Таблица8119" ref="A7:E14" totalsRowShown="0" headerRowDxfId="108" dataDxfId="107" headerRowBorderDxfId="105" tableBorderDxfId="106" totalsRowBorderDxfId="104">
  <autoFilter ref="A7:E14"/>
  <tableColumns count="5">
    <tableColumn id="1" name="Год реализации" dataDxfId="113"/>
    <tableColumn id="2" name="Местный бюджет" dataDxfId="112"/>
    <tableColumn id="3" name="Областной бюджет" dataDxfId="111"/>
    <tableColumn id="4" name="Федеральный Бюджет" dataDxfId="110"/>
    <tableColumn id="5" name="Сумма" dataDxfId="109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9" name="_202110" displayName="_202110" ref="A36:H59" totalsRowCount="1" headerRowDxfId="87" dataDxfId="86" totalsRowDxfId="85" tableBorderDxfId="84">
  <autoFilter ref="A36:H58"/>
  <tableColumns count="8">
    <tableColumn id="1" name="Наименование мероприятия" totalsRowLabel="Итог" dataDxfId="102" totalsRowDxfId="103"/>
    <tableColumn id="6" name="Год реализации" dataDxfId="100" totalsRowDxfId="101"/>
    <tableColumn id="2" name="Местный бюджет" totalsRowFunction="custom" dataDxfId="98" totalsRowDxfId="99">
      <totalsRowFormula>C57+C58+C49+C46+C38+C37</totalsRowFormula>
    </tableColumn>
    <tableColumn id="3" name="Областной бюджет" totalsRowFunction="custom" dataDxfId="96" totalsRowDxfId="97">
      <totalsRowFormula>D57+D58+D49+D46+D38+D37</totalsRowFormula>
    </tableColumn>
    <tableColumn id="4" name="Федеральный Бюджет" totalsRowFunction="sum" dataDxfId="94" totalsRowDxfId="95"/>
    <tableColumn id="5" name="Сумма" totalsRowLabel="102 616,57" dataDxfId="92" totalsRowDxfId="93">
      <calculatedColumnFormula>SUM('2023 уточнение'!$C37:$E37)</calculatedColumnFormula>
    </tableColumn>
    <tableColumn id="7" name="Столбец1" dataDxfId="90" totalsRowDxfId="91"/>
    <tableColumn id="8" name="Столбец2" dataDxfId="88" totalsRowDxfId="89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1" name="_202212" displayName="_202212" ref="A61:G98" totalsRowCount="1" headerRowDxfId="69" dataDxfId="68" totalsRowDxfId="67" tableBorderDxfId="66">
  <autoFilter ref="A61:G97"/>
  <tableColumns count="7">
    <tableColumn id="1" name="Наименование мероприятия" totalsRowLabel="Итог" dataDxfId="82" totalsRowDxfId="83"/>
    <tableColumn id="6" name="Год реализации" dataDxfId="80" totalsRowDxfId="81" dataCellStyle="Excel Built-in Normal"/>
    <tableColumn id="2" name="Местный бюджет" totalsRowFunction="custom" dataDxfId="78" totalsRowDxfId="79">
      <totalsRowFormula>C97+C96+C95+C94+C93+C92+C91+C90+C89+C77+C63+C62+C88</totalsRowFormula>
    </tableColumn>
    <tableColumn id="3" name="Областной бюджет" totalsRowFunction="custom" dataDxfId="76" totalsRowDxfId="77">
      <totalsRowFormula>D88+D89+D90+D91+D92+D93+D94+D95+D96+D97+D69+D77</totalsRowFormula>
    </tableColumn>
    <tableColumn id="4" name="Федеральный Бюджет" totalsRowFunction="sum" dataDxfId="74" totalsRowDxfId="75"/>
    <tableColumn id="5" name="Сумма" totalsRowFunction="custom" dataDxfId="72" totalsRowDxfId="73">
      <calculatedColumnFormula>'2023 уточнение'!$C62+'2023 уточнение'!$D62</calculatedColumnFormula>
      <totalsRowFormula>F88+F89+F90+F91+F92+F93+F94+F95+F96+F97+F77+F62+F63</totalsRowFormula>
    </tableColumn>
    <tableColumn id="7" name="Столбец1" dataDxfId="70" totalsRowDxfId="71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2" name="_202313" displayName="_202313" ref="A100:J127" totalsRowCount="1" headerRowDxfId="45" dataDxfId="44" totalsRowDxfId="43" tableBorderDxfId="42">
  <autoFilter ref="A100:J126"/>
  <tableColumns count="10">
    <tableColumn id="1" name="Наименование мероприятия" totalsRowLabel="Итого дорожный фонд" dataDxfId="64" totalsRowDxfId="65"/>
    <tableColumn id="6" name="Год реализации" dataDxfId="62" totalsRowDxfId="63"/>
    <tableColumn id="2" name="Местный бюджет" totalsRowFunction="custom" dataDxfId="60" totalsRowDxfId="61">
      <totalsRowFormula>C109+C117+C126</totalsRowFormula>
    </tableColumn>
    <tableColumn id="3" name="Областной бюджет" totalsRowFunction="custom" dataDxfId="58" totalsRowDxfId="59">
      <totalsRowFormula>D126+D117</totalsRowFormula>
    </tableColumn>
    <tableColumn id="4" name="Федеральный Бюджет" dataDxfId="56" totalsRowDxfId="57"/>
    <tableColumn id="5" name="Сумма" totalsRowFunction="custom" dataDxfId="54" totalsRowDxfId="55">
      <totalsRowFormula>F117+F109+F126</totalsRowFormula>
    </tableColumn>
    <tableColumn id="7" name="Столбец1" dataDxfId="52" totalsRowDxfId="53">
      <calculatedColumnFormula>'2023 уточнение'!$F101*5%</calculatedColumnFormula>
    </tableColumn>
    <tableColumn id="8" name="5 684,00" dataDxfId="50" totalsRowDxfId="51">
      <calculatedColumnFormula>'2023 уточнение'!$C101+'2023 уточнение'!$D101</calculatedColumnFormula>
    </tableColumn>
    <tableColumn id="9" name="Столбец3" dataDxfId="48" totalsRowDxfId="49"/>
    <tableColumn id="10" name="Столбец4" dataDxfId="46" totalsRowDxfId="4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0" name="Таблица811" displayName="Таблица811" ref="A7:E13" totalsRowShown="0" headerRowDxfId="348" dataDxfId="347" headerRowBorderDxfId="345" tableBorderDxfId="346" totalsRowBorderDxfId="344">
  <autoFilter ref="A7:E13"/>
  <tableColumns count="5">
    <tableColumn id="1" name="Год реализации" dataDxfId="353"/>
    <tableColumn id="2" name="Местный бюджет" dataDxfId="352"/>
    <tableColumn id="3" name="Областной бюджет" dataDxfId="351"/>
    <tableColumn id="4" name="Федеральный Бюджет" dataDxfId="350">
      <calculatedColumnFormula>'2020'!$E$139</calculatedColumnFormula>
    </tableColumn>
    <tableColumn id="5" name="Сумма" dataDxfId="349">
      <calculatedColumnFormula>SUM('2020'!$B8:$D8)</calculatedColumnFormula>
    </tableColumn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3" name="_202414" displayName="_202414" ref="A129:G146" totalsRowCount="1" headerRowDxfId="27" dataDxfId="26" totalsRowDxfId="25" tableBorderDxfId="24">
  <autoFilter ref="A129:G145"/>
  <tableColumns count="7">
    <tableColumn id="1" name="Наименование мероприятия" totalsRowLabel="Итог" dataDxfId="40" totalsRowDxfId="41"/>
    <tableColumn id="6" name="Год реализации" dataDxfId="38" totalsRowDxfId="39"/>
    <tableColumn id="2" name="Местный бюджет" totalsRowFunction="custom" dataDxfId="36" totalsRowDxfId="37">
      <totalsRowFormula>SUBTOTAL(109,C130:C144)</totalsRowFormula>
    </tableColumn>
    <tableColumn id="3" name="Областной бюджет" totalsRowFunction="custom" dataDxfId="34" totalsRowDxfId="35">
      <totalsRowFormula>D138+D139+D140+D141+D142+D143</totalsRowFormula>
    </tableColumn>
    <tableColumn id="4" name="Федеральный Бюджет" totalsRowFunction="sum" dataDxfId="32" totalsRowDxfId="33"/>
    <tableColumn id="5" name="Сумма" totalsRowFunction="sum" dataDxfId="30" totalsRowDxfId="31"/>
    <tableColumn id="7" name="Столбец1" dataDxfId="28" totalsRowDxfId="29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14" name="_202515" displayName="_202515" ref="A148:J167" totalsRowCount="1" headerRowDxfId="3" dataDxfId="2" totalsRowDxfId="1" tableBorderDxfId="0">
  <autoFilter ref="A148:J166"/>
  <tableColumns count="10">
    <tableColumn id="1" name="Наименование мероприятия" totalsRowLabel="Итог" dataDxfId="22" totalsRowDxfId="23"/>
    <tableColumn id="6" name="Год реализации" dataDxfId="20" totalsRowDxfId="21"/>
    <tableColumn id="2" name="Местный бюджет" totalsRowFunction="sum" dataDxfId="18" totalsRowDxfId="19"/>
    <tableColumn id="3" name="Областной бюджет" totalsRowFunction="sum" dataDxfId="16" totalsRowDxfId="17"/>
    <tableColumn id="4" name="Федеральный Бюджет" totalsRowFunction="sum" dataDxfId="14" totalsRowDxfId="15"/>
    <tableColumn id="5" name="Сумма" totalsRowFunction="sum" dataDxfId="12" totalsRowDxfId="13">
      <calculatedColumnFormula>C149</calculatedColumnFormula>
    </tableColumn>
    <tableColumn id="7" name="Столбец1" dataDxfId="10" totalsRowDxfId="11"/>
    <tableColumn id="8" name="Столбец2" dataDxfId="8" totalsRowDxfId="9"/>
    <tableColumn id="9" name="Столбец3" dataDxfId="6" totalsRowDxfId="7"/>
    <tableColumn id="10" name="Столбец4" dataDxfId="4" totalsRow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_2021" displayName="_2021" ref="A36:H59" totalsRowCount="1" headerRowDxfId="327" dataDxfId="326" totalsRowDxfId="325" tableBorderDxfId="324">
  <autoFilter ref="A36:H58"/>
  <tableColumns count="8">
    <tableColumn id="1" name="Наименование мероприятия" totalsRowLabel="Итог" dataDxfId="342" totalsRowDxfId="343"/>
    <tableColumn id="6" name="Год реализации" dataDxfId="340" totalsRowDxfId="341"/>
    <tableColumn id="2" name="Местный бюджет" totalsRowFunction="custom" dataDxfId="338" totalsRowDxfId="339">
      <totalsRowFormula>C57+C58+C49+C46+C38+C37</totalsRowFormula>
    </tableColumn>
    <tableColumn id="3" name="Областной бюджет" totalsRowFunction="custom" dataDxfId="336" totalsRowDxfId="337">
      <totalsRowFormula>D57+D58+D49+D46+D38+D37</totalsRowFormula>
    </tableColumn>
    <tableColumn id="4" name="Федеральный Бюджет" totalsRowFunction="sum" dataDxfId="334" totalsRowDxfId="335"/>
    <tableColumn id="5" name="Сумма" totalsRowLabel="102 616,57" dataDxfId="332" totalsRowDxfId="333">
      <calculatedColumnFormula>SUM('2020'!$C37:$E37)</calculatedColumnFormula>
    </tableColumn>
    <tableColumn id="7" name="Столбец1" dataDxfId="330" totalsRowDxfId="331"/>
    <tableColumn id="8" name="Столбец2" dataDxfId="328" totalsRowDxfId="329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_2022" displayName="_2022" ref="A61:F78" totalsRowCount="1" headerRowDxfId="311" dataDxfId="310" totalsRowDxfId="309" tableBorderDxfId="308">
  <autoFilter ref="A61:F77"/>
  <tableColumns count="6">
    <tableColumn id="1" name="Наименование мероприятия" totalsRowLabel="Итог" dataDxfId="322" totalsRowDxfId="323"/>
    <tableColumn id="6" name="Год реализации" dataDxfId="320" totalsRowDxfId="321" dataCellStyle="Excel Built-in Normal"/>
    <tableColumn id="2" name="Местный бюджет" totalsRowFunction="sum" dataDxfId="318" totalsRowDxfId="319"/>
    <tableColumn id="3" name="Областной бюджет" totalsRowFunction="sum" dataDxfId="316" totalsRowDxfId="317"/>
    <tableColumn id="4" name="Федеральный Бюджет" totalsRowFunction="sum" dataDxfId="314" totalsRowDxfId="315"/>
    <tableColumn id="5" name="Сумма" totalsRowFunction="sum" dataDxfId="312" totalsRowDxfId="31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_2023" displayName="_2023" ref="A80:I94" totalsRowCount="1" headerRowDxfId="289" dataDxfId="288" tableBorderDxfId="287">
  <autoFilter ref="A80:I93"/>
  <tableColumns count="9">
    <tableColumn id="1" name="Наименование мероприятия" totalsRowLabel="Итог" dataDxfId="306" totalsRowDxfId="307"/>
    <tableColumn id="6" name="Год реализации" dataDxfId="304" totalsRowDxfId="305"/>
    <tableColumn id="2" name="Местный бюджет" totalsRowFunction="custom" dataDxfId="302" totalsRowDxfId="303">
      <totalsRowFormula>C81+C82+C83+C84+C85+C87+C88+C89+C90+C91+C92+C93</totalsRowFormula>
    </tableColumn>
    <tableColumn id="3" name="Областной бюджет" totalsRowFunction="sum" dataDxfId="300" totalsRowDxfId="301"/>
    <tableColumn id="4" name="Федеральный Бюджет" dataDxfId="298" totalsRowDxfId="299"/>
    <tableColumn id="5" name="Сумма" totalsRowFunction="custom" dataDxfId="296" totalsRowDxfId="297">
      <totalsRowFormula>F81+F82+F83+F84+F85+F87+F88+F89+F90+F91+F92+F93</totalsRowFormula>
    </tableColumn>
    <tableColumn id="7" name="Столбец1" dataDxfId="294" totalsRowDxfId="295"/>
    <tableColumn id="8" name="Столбец2" dataDxfId="292" totalsRowDxfId="293"/>
    <tableColumn id="9" name="Столбец3" dataDxfId="290" totalsRowDxfId="29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_2024" displayName="_2024" ref="A96:F114" totalsRowCount="1" headerRowDxfId="274" dataDxfId="273" tableBorderDxfId="272">
  <autoFilter ref="A96:F113"/>
  <tableColumns count="6">
    <tableColumn id="1" name="Наименование мероприятия" totalsRowLabel="Итог" dataDxfId="285" totalsRowDxfId="286"/>
    <tableColumn id="6" name="Год реализации" dataDxfId="283" totalsRowDxfId="284"/>
    <tableColumn id="2" name="Местный бюджет" totalsRowFunction="custom" dataDxfId="281" totalsRowDxfId="282">
      <totalsRowFormula>C98+C99+C100+C101+C102+C104+C105+C106+C109+C110+C111+C112</totalsRowFormula>
    </tableColumn>
    <tableColumn id="3" name="Областной бюджет" totalsRowFunction="sum" dataDxfId="279" totalsRowDxfId="280"/>
    <tableColumn id="4" name="Федеральный Бюджет" totalsRowFunction="sum" dataDxfId="277" totalsRowDxfId="278"/>
    <tableColumn id="5" name="Сумма" totalsRowFunction="sum" dataDxfId="275" totalsRowDxfId="276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_2025" displayName="_2025" ref="A116:F139" totalsRowCount="1" headerRowDxfId="259" dataDxfId="258" tableBorderDxfId="257">
  <autoFilter ref="A116:F138"/>
  <tableColumns count="6">
    <tableColumn id="1" name="Наименование мероприятия" totalsRowLabel="Итог" dataDxfId="270" totalsRowDxfId="271"/>
    <tableColumn id="6" name="Год реализации" dataDxfId="268" totalsRowDxfId="269"/>
    <tableColumn id="2" name="Местный бюджет" totalsRowFunction="custom" dataDxfId="266" totalsRowDxfId="267">
      <totalsRowFormula>C117+C118+C119+C120+C121</totalsRowFormula>
    </tableColumn>
    <tableColumn id="3" name="Областной бюджет" totalsRowFunction="sum" dataDxfId="264" totalsRowDxfId="265"/>
    <tableColumn id="4" name="Федеральный Бюджет" totalsRowFunction="sum" dataDxfId="262" totalsRowDxfId="263"/>
    <tableColumn id="5" name="Сумма" totalsRowFunction="sum" dataDxfId="260" totalsRowDxfId="261">
      <calculatedColumnFormula>SUM('2020'!$C117:$E117)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5" name="_2020216" displayName="_2020216" ref="A17:F34" totalsRowCount="1" headerRowDxfId="244" dataDxfId="243" totalsRowDxfId="242" tableBorderDxfId="241">
  <autoFilter ref="A17:F33"/>
  <tableColumns count="6">
    <tableColumn id="1" name="Наименование мероприятия" totalsRowLabel="Итог" dataDxfId="255" totalsRowDxfId="256"/>
    <tableColumn id="6" name="Год реализации" dataDxfId="253" totalsRowDxfId="254"/>
    <tableColumn id="3" name="Местный бюджет" totalsRowFunction="sum" dataDxfId="251" totalsRowDxfId="252"/>
    <tableColumn id="4" name="Областной бюджет" totalsRowFunction="sum" dataDxfId="249" totalsRowDxfId="250"/>
    <tableColumn id="5" name="Федеральный Бюджет" totalsRowFunction="sum" dataDxfId="247" totalsRowDxfId="248"/>
    <tableColumn id="2" name="Сумма" totalsRowFunction="sum" dataDxfId="245" totalsRowDxfId="246">
      <calculatedColumnFormula>'2023'!$C18+'2023'!$D18+'2023'!$E18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6" name="Таблица811917" displayName="Таблица811917" ref="A7:E13" totalsRowShown="0" headerRowDxfId="235" dataDxfId="234" headerRowBorderDxfId="232" tableBorderDxfId="233" totalsRowBorderDxfId="231">
  <autoFilter ref="A7:E13"/>
  <tableColumns count="5">
    <tableColumn id="1" name="Год реализации" dataDxfId="240"/>
    <tableColumn id="2" name="Местный бюджет" dataDxfId="239"/>
    <tableColumn id="3" name="Областной бюджет" dataDxfId="238"/>
    <tableColumn id="4" name="Федеральный Бюджет" dataDxfId="237">
      <calculatedColumnFormula>'2023'!$E$151</calculatedColumnFormula>
    </tableColumn>
    <tableColumn id="5" name="Сумма" dataDxfId="23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.xml"/><Relationship Id="rId3" Type="http://schemas.openxmlformats.org/officeDocument/2006/relationships/table" Target="../tables/table16.xml"/><Relationship Id="rId7" Type="http://schemas.openxmlformats.org/officeDocument/2006/relationships/table" Target="../tables/table20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view="pageBreakPreview" topLeftCell="A64" zoomScale="85" zoomScaleNormal="100" zoomScaleSheetLayoutView="85" workbookViewId="0">
      <selection activeCell="M76" sqref="M76"/>
    </sheetView>
  </sheetViews>
  <sheetFormatPr defaultColWidth="31" defaultRowHeight="14.5"/>
  <cols>
    <col min="1" max="1" width="62.7265625" style="6" customWidth="1"/>
    <col min="2" max="2" width="20.54296875" style="45" customWidth="1"/>
    <col min="3" max="3" width="19.453125" style="40" customWidth="1"/>
    <col min="4" max="4" width="20.81640625" style="40" customWidth="1"/>
    <col min="5" max="5" width="23.81640625" style="40" customWidth="1"/>
    <col min="6" max="6" width="12" customWidth="1"/>
    <col min="7" max="7" width="14.81640625" customWidth="1"/>
    <col min="8" max="9" width="14.81640625" style="11" customWidth="1"/>
    <col min="10" max="12" width="14.81640625" customWidth="1"/>
  </cols>
  <sheetData>
    <row r="1" spans="1:12">
      <c r="A1" s="1"/>
      <c r="B1" s="36"/>
      <c r="C1" s="2"/>
      <c r="D1" s="80"/>
      <c r="E1" s="4" t="s">
        <v>41</v>
      </c>
    </row>
    <row r="2" spans="1:12">
      <c r="A2" s="1"/>
      <c r="B2" s="36"/>
      <c r="C2" s="2"/>
      <c r="D2" s="80"/>
      <c r="E2" s="4" t="s">
        <v>42</v>
      </c>
    </row>
    <row r="3" spans="1:12">
      <c r="A3" s="1"/>
      <c r="B3" s="36"/>
      <c r="C3" s="2"/>
      <c r="D3" s="80"/>
      <c r="E3" s="4" t="s">
        <v>43</v>
      </c>
    </row>
    <row r="4" spans="1:12">
      <c r="A4" s="1"/>
      <c r="B4" s="36"/>
      <c r="C4" s="2"/>
      <c r="D4" s="80"/>
      <c r="E4" s="4" t="s">
        <v>104</v>
      </c>
    </row>
    <row r="5" spans="1:12" ht="80.25" customHeight="1">
      <c r="A5" s="342" t="s">
        <v>44</v>
      </c>
      <c r="B5" s="342"/>
      <c r="C5" s="342"/>
      <c r="D5" s="342"/>
      <c r="E5" s="342"/>
    </row>
    <row r="6" spans="1:12">
      <c r="A6" s="5" t="s">
        <v>46</v>
      </c>
      <c r="B6" s="38"/>
      <c r="C6" s="39"/>
      <c r="D6" s="39"/>
      <c r="E6" s="41"/>
    </row>
    <row r="7" spans="1:12">
      <c r="A7" s="18" t="s">
        <v>63</v>
      </c>
      <c r="B7" s="37" t="s">
        <v>2</v>
      </c>
      <c r="C7" s="15" t="s">
        <v>1</v>
      </c>
      <c r="D7" s="15" t="s">
        <v>3</v>
      </c>
      <c r="E7" s="19" t="s">
        <v>55</v>
      </c>
    </row>
    <row r="8" spans="1:12">
      <c r="A8" s="16">
        <v>2020</v>
      </c>
      <c r="B8" s="3">
        <f>'2020'!$C$34</f>
        <v>27013.413510000002</v>
      </c>
      <c r="C8" s="3">
        <f>'2020'!$D$34</f>
        <v>81475.147490000003</v>
      </c>
      <c r="D8" s="3">
        <f>'2020'!$E$139</f>
        <v>0</v>
      </c>
      <c r="E8" s="42">
        <f>SUM('2020'!$B8:$D8)</f>
        <v>108488.561</v>
      </c>
      <c r="G8">
        <v>27013.413510000002</v>
      </c>
      <c r="H8" s="11">
        <v>81475.147490000003</v>
      </c>
      <c r="J8" s="33">
        <f>'2020'!$B8-G8</f>
        <v>0</v>
      </c>
      <c r="K8" s="33">
        <f>'2020'!$C8-H8</f>
        <v>0</v>
      </c>
      <c r="L8" s="33"/>
    </row>
    <row r="9" spans="1:12" ht="14.25" customHeight="1">
      <c r="A9" s="16">
        <v>2021</v>
      </c>
      <c r="B9" s="3">
        <f>'2020'!$C$59</f>
        <v>29257.209208099997</v>
      </c>
      <c r="C9" s="3">
        <f>'2020'!$D$59</f>
        <v>73359.368621460002</v>
      </c>
      <c r="D9" s="3">
        <f>'2020'!$E$139</f>
        <v>0</v>
      </c>
      <c r="E9" s="42">
        <f>SUM('2020'!$B9:$D9)</f>
        <v>102616.57782956</v>
      </c>
      <c r="G9">
        <v>28809.840649999998</v>
      </c>
      <c r="H9" s="11">
        <v>39848.179450000003</v>
      </c>
      <c r="J9" s="33">
        <f>'2020'!$B9-G9</f>
        <v>447.36855809999906</v>
      </c>
      <c r="K9" s="33">
        <f>'2020'!$C9-H9</f>
        <v>33511.189171459999</v>
      </c>
      <c r="L9" s="33"/>
    </row>
    <row r="10" spans="1:12">
      <c r="A10" s="16">
        <v>2022</v>
      </c>
      <c r="B10" s="3">
        <f>'2020'!$C$78</f>
        <v>20221.533649190787</v>
      </c>
      <c r="C10" s="3">
        <f>'2020'!$D$78</f>
        <v>112689.99515237499</v>
      </c>
      <c r="D10" s="3">
        <f>'2020'!$E$139</f>
        <v>0</v>
      </c>
      <c r="E10" s="42">
        <f>SUM('2020'!$B10:$D10)</f>
        <v>132911.52880156579</v>
      </c>
      <c r="G10">
        <v>20221.53</v>
      </c>
      <c r="H10" s="11">
        <v>112690</v>
      </c>
      <c r="J10" s="33">
        <f>'2020'!$B10-G10</f>
        <v>3.6491907885647379E-3</v>
      </c>
      <c r="K10" s="33">
        <f>'2020'!$C10-H10</f>
        <v>-4.8476250085514039E-3</v>
      </c>
      <c r="L10" s="33"/>
    </row>
    <row r="11" spans="1:12">
      <c r="A11" s="16">
        <v>2023</v>
      </c>
      <c r="B11" s="3">
        <f>'2020'!$C$94</f>
        <v>20255.517</v>
      </c>
      <c r="C11" s="3">
        <f>'2020'!$D$94</f>
        <v>92907.301999999996</v>
      </c>
      <c r="D11" s="3">
        <f>'2020'!$E$139</f>
        <v>0</v>
      </c>
      <c r="E11" s="42">
        <f>SUM('2020'!$B11:$D11)</f>
        <v>113162.81899999999</v>
      </c>
      <c r="G11">
        <v>20254.82</v>
      </c>
      <c r="H11" s="11">
        <v>92908</v>
      </c>
      <c r="J11" s="35">
        <f>'2020'!$B11-G11</f>
        <v>0.69700000000011642</v>
      </c>
      <c r="K11" s="35">
        <f>'2020'!$C11-H11</f>
        <v>-0.69800000000395812</v>
      </c>
      <c r="L11" s="35"/>
    </row>
    <row r="12" spans="1:12">
      <c r="A12" s="16">
        <v>2024</v>
      </c>
      <c r="B12" s="3">
        <f>'2020'!$C$114</f>
        <v>20036.045000000002</v>
      </c>
      <c r="C12" s="3">
        <f>'2020'!$D$114</f>
        <v>92908.005000000005</v>
      </c>
      <c r="D12" s="3">
        <f>'2020'!$E$139</f>
        <v>0</v>
      </c>
      <c r="E12" s="42">
        <f>SUM('2020'!$B12:$D12)</f>
        <v>112944.05</v>
      </c>
      <c r="G12">
        <v>20036.05</v>
      </c>
      <c r="H12" s="11">
        <v>36900</v>
      </c>
      <c r="J12" s="34">
        <f>'2020'!$B12-G12</f>
        <v>-4.9999999973806553E-3</v>
      </c>
      <c r="K12" s="34">
        <f>'2020'!$C12-H12</f>
        <v>56008.005000000005</v>
      </c>
      <c r="L12" s="34"/>
    </row>
    <row r="13" spans="1:12">
      <c r="A13" s="17">
        <v>2025</v>
      </c>
      <c r="B13" s="3">
        <f>'2020'!$C$139</f>
        <v>15146.15</v>
      </c>
      <c r="C13" s="3">
        <f>'2020'!$D$139</f>
        <v>64550</v>
      </c>
      <c r="D13" s="3">
        <f>'2020'!$E$139</f>
        <v>0</v>
      </c>
      <c r="E13" s="31">
        <f>SUM('2020'!$B13:$D13)</f>
        <v>79696.149999999994</v>
      </c>
      <c r="G13">
        <v>14909.1</v>
      </c>
      <c r="H13" s="11">
        <v>109917.5</v>
      </c>
      <c r="J13" s="33">
        <f>'2020'!$B13-G13</f>
        <v>237.04999999999927</v>
      </c>
      <c r="K13" s="33">
        <f>'2020'!$C13-H13</f>
        <v>-45367.5</v>
      </c>
      <c r="L13" s="33"/>
    </row>
    <row r="14" spans="1:12">
      <c r="A14" s="5"/>
      <c r="B14" s="38"/>
      <c r="C14" s="39"/>
      <c r="D14" s="39"/>
      <c r="E14" s="41"/>
    </row>
    <row r="15" spans="1:12" ht="22.5">
      <c r="A15" s="343" t="s">
        <v>47</v>
      </c>
      <c r="B15" s="344"/>
      <c r="C15" s="344"/>
      <c r="D15" s="344"/>
      <c r="E15" s="345"/>
    </row>
    <row r="16" spans="1:12">
      <c r="A16" s="50"/>
      <c r="B16" s="47"/>
      <c r="C16" s="48" t="s">
        <v>45</v>
      </c>
      <c r="D16" s="46"/>
      <c r="E16" s="51"/>
      <c r="F16" s="52"/>
    </row>
    <row r="17" spans="1:6">
      <c r="A17" s="53" t="s">
        <v>0</v>
      </c>
      <c r="B17" s="54" t="s">
        <v>63</v>
      </c>
      <c r="C17" s="55" t="s">
        <v>2</v>
      </c>
      <c r="D17" s="55" t="s">
        <v>1</v>
      </c>
      <c r="E17" s="55" t="s">
        <v>3</v>
      </c>
      <c r="F17" s="55" t="s">
        <v>55</v>
      </c>
    </row>
    <row r="18" spans="1:6" ht="28">
      <c r="A18" s="7" t="s">
        <v>4</v>
      </c>
      <c r="B18" s="56">
        <v>2020</v>
      </c>
      <c r="C18" s="8">
        <v>8577.6</v>
      </c>
      <c r="D18" s="8"/>
      <c r="E18" s="8"/>
      <c r="F18" s="8">
        <f>'2020'!$C18+'2020'!$D18+'2020'!$E18</f>
        <v>8577.6</v>
      </c>
    </row>
    <row r="19" spans="1:6" ht="56">
      <c r="A19" s="9" t="s">
        <v>5</v>
      </c>
      <c r="B19" s="56">
        <v>2020</v>
      </c>
      <c r="C19" s="3">
        <v>459.15150999999997</v>
      </c>
      <c r="D19" s="3"/>
      <c r="E19" s="3"/>
      <c r="F19" s="8">
        <f>'2020'!$C19+'2020'!$D19+'2020'!$E19</f>
        <v>459.15150999999997</v>
      </c>
    </row>
    <row r="20" spans="1:6" ht="28">
      <c r="A20" s="7" t="s">
        <v>6</v>
      </c>
      <c r="B20" s="56">
        <v>2020</v>
      </c>
      <c r="C20" s="8">
        <v>369.25299999999999</v>
      </c>
      <c r="D20" s="8">
        <v>7015.8124900000003</v>
      </c>
      <c r="E20" s="8"/>
      <c r="F20" s="8">
        <f>'2020'!$C20+'2020'!$D20+'2020'!$E20</f>
        <v>7385.06549</v>
      </c>
    </row>
    <row r="21" spans="1:6" ht="28">
      <c r="A21" s="9" t="s">
        <v>7</v>
      </c>
      <c r="B21" s="56">
        <v>2020</v>
      </c>
      <c r="C21" s="3">
        <v>692.255</v>
      </c>
      <c r="D21" s="3">
        <v>13152.85</v>
      </c>
      <c r="E21" s="3"/>
      <c r="F21" s="8">
        <f>'2020'!$C21+'2020'!$D21+'2020'!$E21</f>
        <v>13845.105</v>
      </c>
    </row>
    <row r="22" spans="1:6" ht="28">
      <c r="A22" s="7" t="s">
        <v>8</v>
      </c>
      <c r="B22" s="56">
        <v>2020</v>
      </c>
      <c r="C22" s="8">
        <v>599.40499999999997</v>
      </c>
      <c r="D22" s="8"/>
      <c r="E22" s="8"/>
      <c r="F22" s="8">
        <f>'2020'!$C22+'2020'!$D22+'2020'!$E22</f>
        <v>599.40499999999997</v>
      </c>
    </row>
    <row r="23" spans="1:6">
      <c r="A23" s="9" t="s">
        <v>17</v>
      </c>
      <c r="B23" s="56">
        <v>2020</v>
      </c>
      <c r="C23" s="3">
        <v>599.99</v>
      </c>
      <c r="D23" s="3"/>
      <c r="E23" s="3"/>
      <c r="F23" s="8">
        <f>'2020'!$C23+'2020'!$D23+'2020'!$E23</f>
        <v>599.99</v>
      </c>
    </row>
    <row r="24" spans="1:6">
      <c r="A24" s="7" t="s">
        <v>17</v>
      </c>
      <c r="B24" s="56">
        <v>2020</v>
      </c>
      <c r="C24" s="8">
        <v>471.78899999999999</v>
      </c>
      <c r="D24" s="8"/>
      <c r="E24" s="8"/>
      <c r="F24" s="8">
        <f>'2020'!$C24+'2020'!$D24+'2020'!$E24</f>
        <v>471.78899999999999</v>
      </c>
    </row>
    <row r="25" spans="1:6" ht="28">
      <c r="A25" s="9" t="s">
        <v>9</v>
      </c>
      <c r="B25" s="56">
        <v>2020</v>
      </c>
      <c r="C25" s="3">
        <v>2.423</v>
      </c>
      <c r="D25" s="3">
        <v>2420.9670000000001</v>
      </c>
      <c r="E25" s="3"/>
      <c r="F25" s="8">
        <f>'2020'!$C25+'2020'!$D25+'2020'!$E25</f>
        <v>2423.39</v>
      </c>
    </row>
    <row r="26" spans="1:6" ht="28">
      <c r="A26" s="7" t="s">
        <v>10</v>
      </c>
      <c r="B26" s="56">
        <v>2020</v>
      </c>
      <c r="C26" s="8">
        <v>31.129000000000001</v>
      </c>
      <c r="D26" s="8">
        <v>31098.330999999998</v>
      </c>
      <c r="E26" s="8"/>
      <c r="F26" s="8">
        <f>'2020'!$C26+'2020'!$D26+'2020'!$E26</f>
        <v>31129.46</v>
      </c>
    </row>
    <row r="27" spans="1:6" ht="28">
      <c r="A27" s="9" t="s">
        <v>11</v>
      </c>
      <c r="B27" s="56">
        <v>2020</v>
      </c>
      <c r="C27" s="3">
        <v>11.779</v>
      </c>
      <c r="D27" s="3">
        <v>11766.829</v>
      </c>
      <c r="E27" s="3"/>
      <c r="F27" s="8">
        <f>'2020'!$C27+'2020'!$D27+'2020'!$E27</f>
        <v>11778.608</v>
      </c>
    </row>
    <row r="28" spans="1:6" ht="42">
      <c r="A28" s="7" t="s">
        <v>12</v>
      </c>
      <c r="B28" s="56">
        <v>2020</v>
      </c>
      <c r="C28" s="8">
        <v>400</v>
      </c>
      <c r="D28" s="8">
        <v>9600</v>
      </c>
      <c r="E28" s="8"/>
      <c r="F28" s="8">
        <f>'2020'!$C28+'2020'!$D28+'2020'!$E28</f>
        <v>10000</v>
      </c>
    </row>
    <row r="29" spans="1:6" ht="28">
      <c r="A29" s="9" t="s">
        <v>13</v>
      </c>
      <c r="B29" s="56">
        <v>2020</v>
      </c>
      <c r="C29" s="3">
        <v>229.452</v>
      </c>
      <c r="D29" s="3">
        <v>4359.585</v>
      </c>
      <c r="E29" s="3"/>
      <c r="F29" s="8">
        <f>'2020'!$C29+'2020'!$D29+'2020'!$E29</f>
        <v>4589.0370000000003</v>
      </c>
    </row>
    <row r="30" spans="1:6" ht="42">
      <c r="A30" s="7" t="s">
        <v>14</v>
      </c>
      <c r="B30" s="56">
        <v>2020</v>
      </c>
      <c r="C30" s="8">
        <v>108.461</v>
      </c>
      <c r="D30" s="8">
        <v>2060.7730000000001</v>
      </c>
      <c r="E30" s="8"/>
      <c r="F30" s="8">
        <f>'2020'!$C30+'2020'!$D30+'2020'!$E30</f>
        <v>2169.2339999999999</v>
      </c>
    </row>
    <row r="31" spans="1:6">
      <c r="A31" s="9" t="s">
        <v>15</v>
      </c>
      <c r="B31" s="56">
        <v>2020</v>
      </c>
      <c r="C31" s="3">
        <v>144.626</v>
      </c>
      <c r="D31" s="3"/>
      <c r="E31" s="3"/>
      <c r="F31" s="8">
        <f>'2020'!$C31+'2020'!$D31+'2020'!$E31</f>
        <v>144.626</v>
      </c>
    </row>
    <row r="32" spans="1:6">
      <c r="A32" s="7" t="s">
        <v>16</v>
      </c>
      <c r="B32" s="56">
        <v>2020</v>
      </c>
      <c r="C32" s="8">
        <v>302</v>
      </c>
      <c r="D32" s="8"/>
      <c r="E32" s="8"/>
      <c r="F32" s="8">
        <f>'2020'!$C32+'2020'!$D32+'2020'!$E32</f>
        <v>302</v>
      </c>
    </row>
    <row r="33" spans="1:10">
      <c r="A33" s="7" t="s">
        <v>54</v>
      </c>
      <c r="B33" s="56">
        <v>2020</v>
      </c>
      <c r="C33" s="8">
        <v>14014.1</v>
      </c>
      <c r="D33" s="8"/>
      <c r="E33" s="8"/>
      <c r="F33" s="8">
        <f>'2020'!$C33+'2020'!$D33+'2020'!$E33</f>
        <v>14014.1</v>
      </c>
    </row>
    <row r="34" spans="1:10">
      <c r="A34" s="57" t="s">
        <v>53</v>
      </c>
      <c r="B34" s="56"/>
      <c r="C34" s="8">
        <f>SUBTOTAL(109,C18:C33)</f>
        <v>27013.413510000002</v>
      </c>
      <c r="D34" s="8">
        <f>SUBTOTAL(109,D18:D33)</f>
        <v>81475.147490000003</v>
      </c>
      <c r="E34" s="8">
        <f>SUBTOTAL(109,E18:E33)</f>
        <v>0</v>
      </c>
      <c r="F34" s="8">
        <f>SUBTOTAL(109,F18:F33)</f>
        <v>108488.561</v>
      </c>
    </row>
    <row r="35" spans="1:10" ht="22.5">
      <c r="A35" s="346" t="s">
        <v>48</v>
      </c>
      <c r="B35" s="347"/>
      <c r="C35" s="347"/>
      <c r="D35" s="347"/>
      <c r="E35" s="3"/>
      <c r="F35" s="58"/>
    </row>
    <row r="36" spans="1:10">
      <c r="A36" s="59" t="s">
        <v>0</v>
      </c>
      <c r="B36" s="60" t="s">
        <v>63</v>
      </c>
      <c r="C36" s="61" t="s">
        <v>2</v>
      </c>
      <c r="D36" s="61" t="s">
        <v>1</v>
      </c>
      <c r="E36" s="61" t="s">
        <v>3</v>
      </c>
      <c r="F36" s="61" t="s">
        <v>55</v>
      </c>
      <c r="G36" s="82" t="s">
        <v>106</v>
      </c>
      <c r="H36" s="82" t="s">
        <v>109</v>
      </c>
    </row>
    <row r="37" spans="1:10" s="89" customFormat="1">
      <c r="A37" s="93" t="s">
        <v>54</v>
      </c>
      <c r="B37" s="94" t="s">
        <v>70</v>
      </c>
      <c r="C37" s="95">
        <v>14857.17916</v>
      </c>
      <c r="D37" s="95"/>
      <c r="E37" s="95"/>
      <c r="F37" s="95">
        <v>14857.17916</v>
      </c>
      <c r="G37" s="87"/>
      <c r="H37" s="87"/>
      <c r="I37" s="88"/>
    </row>
    <row r="38" spans="1:10" s="89" customFormat="1">
      <c r="A38" s="93" t="s">
        <v>107</v>
      </c>
      <c r="B38" s="94" t="s">
        <v>70</v>
      </c>
      <c r="C38" s="95">
        <f>C39+C40+C41+C42+C43+C44+C45</f>
        <v>11948.396805</v>
      </c>
      <c r="D38" s="95"/>
      <c r="E38" s="95"/>
      <c r="F38" s="95">
        <f>F39+F40+F41+F42+F43+F44+F45</f>
        <v>11948.396805</v>
      </c>
      <c r="G38" s="87"/>
      <c r="H38" s="87"/>
      <c r="I38" s="88"/>
      <c r="J38" s="89">
        <f>11948.4-11948.5</f>
        <v>-0.1000000000003638</v>
      </c>
    </row>
    <row r="39" spans="1:10" s="89" customFormat="1">
      <c r="A39" s="83" t="s">
        <v>87</v>
      </c>
      <c r="B39" s="85" t="s">
        <v>70</v>
      </c>
      <c r="C39" s="86">
        <v>302</v>
      </c>
      <c r="D39" s="86"/>
      <c r="E39" s="86"/>
      <c r="F39" s="86">
        <f>SUM('2020'!$C39:$E39)</f>
        <v>302</v>
      </c>
      <c r="G39" s="87"/>
      <c r="H39" s="87"/>
      <c r="I39" s="88"/>
    </row>
    <row r="40" spans="1:10" s="89" customFormat="1">
      <c r="A40" s="84" t="s">
        <v>17</v>
      </c>
      <c r="B40" s="85" t="s">
        <v>70</v>
      </c>
      <c r="C40" s="86">
        <f>1626.3-0.1</f>
        <v>1626.2</v>
      </c>
      <c r="D40" s="86"/>
      <c r="E40" s="86"/>
      <c r="F40" s="86">
        <f>'2020'!$C40</f>
        <v>1626.2</v>
      </c>
      <c r="G40" s="87"/>
      <c r="H40" s="87"/>
      <c r="I40" s="88"/>
    </row>
    <row r="41" spans="1:10" s="89" customFormat="1">
      <c r="A41" s="83" t="s">
        <v>65</v>
      </c>
      <c r="B41" s="85" t="s">
        <v>70</v>
      </c>
      <c r="C41" s="86">
        <v>439.96019999999999</v>
      </c>
      <c r="D41" s="86"/>
      <c r="E41" s="86"/>
      <c r="F41" s="86">
        <f>SUM('2020'!$C41:$E41)</f>
        <v>439.96019999999999</v>
      </c>
      <c r="G41" s="87"/>
      <c r="H41" s="87"/>
      <c r="I41" s="88"/>
    </row>
    <row r="42" spans="1:10" s="89" customFormat="1">
      <c r="A42" s="83" t="s">
        <v>66</v>
      </c>
      <c r="B42" s="85" t="s">
        <v>70</v>
      </c>
      <c r="C42" s="86">
        <v>945.51774</v>
      </c>
      <c r="D42" s="86"/>
      <c r="E42" s="86"/>
      <c r="F42" s="86">
        <f>SUM('2020'!$C42:$E42)</f>
        <v>945.51774</v>
      </c>
      <c r="G42" s="87"/>
      <c r="H42" s="87"/>
      <c r="I42" s="88"/>
    </row>
    <row r="43" spans="1:10" s="89" customFormat="1" ht="28.5">
      <c r="A43" s="83" t="s">
        <v>67</v>
      </c>
      <c r="B43" s="85" t="s">
        <v>70</v>
      </c>
      <c r="C43" s="86">
        <v>8028.848465</v>
      </c>
      <c r="D43" s="86"/>
      <c r="E43" s="86"/>
      <c r="F43" s="86">
        <f>SUM('2020'!$C43:$E43)</f>
        <v>8028.848465</v>
      </c>
      <c r="G43" s="87"/>
      <c r="H43" s="87"/>
      <c r="I43" s="88"/>
    </row>
    <row r="44" spans="1:10" s="89" customFormat="1">
      <c r="A44" s="83" t="s">
        <v>18</v>
      </c>
      <c r="B44" s="85" t="s">
        <v>70</v>
      </c>
      <c r="C44" s="86">
        <v>40</v>
      </c>
      <c r="D44" s="86"/>
      <c r="E44" s="86"/>
      <c r="F44" s="86">
        <f>SUM('2020'!$C44:$E44)</f>
        <v>40</v>
      </c>
      <c r="G44" s="87"/>
      <c r="H44" s="87"/>
      <c r="I44" s="88"/>
    </row>
    <row r="45" spans="1:10" s="89" customFormat="1">
      <c r="A45" s="83" t="s">
        <v>60</v>
      </c>
      <c r="B45" s="85" t="s">
        <v>70</v>
      </c>
      <c r="C45" s="86">
        <v>565.87040000000002</v>
      </c>
      <c r="D45" s="86"/>
      <c r="E45" s="86"/>
      <c r="F45" s="86">
        <f>SUM('2020'!$C45:$E45)</f>
        <v>565.87040000000002</v>
      </c>
      <c r="G45" s="87"/>
      <c r="H45" s="87"/>
      <c r="I45" s="88"/>
    </row>
    <row r="46" spans="1:10" s="89" customFormat="1" ht="28">
      <c r="A46" s="93" t="s">
        <v>108</v>
      </c>
      <c r="B46" s="94" t="s">
        <v>70</v>
      </c>
      <c r="C46" s="95">
        <f>C47+C48</f>
        <v>1007.048092</v>
      </c>
      <c r="D46" s="95">
        <f>D47+D48</f>
        <v>24225.654208</v>
      </c>
      <c r="E46" s="95"/>
      <c r="F46" s="95">
        <f>SUM('2020'!$C46:$E46)</f>
        <v>25232.702300000001</v>
      </c>
      <c r="G46" s="87"/>
      <c r="H46" s="87"/>
      <c r="I46" s="88"/>
    </row>
    <row r="47" spans="1:10" s="89" customFormat="1" ht="28.5">
      <c r="A47" s="83" t="s">
        <v>88</v>
      </c>
      <c r="B47" s="85" t="s">
        <v>70</v>
      </c>
      <c r="C47" s="86">
        <v>629.65709920000006</v>
      </c>
      <c r="D47" s="86">
        <f>15111.7703808+56.5</f>
        <v>15168.270380800001</v>
      </c>
      <c r="E47" s="86"/>
      <c r="F47" s="98">
        <f>SUM('2020'!$C47:$E47)</f>
        <v>15797.92748</v>
      </c>
      <c r="G47" s="87"/>
      <c r="H47" s="87">
        <f>F46-25232.7</f>
        <v>2.3000000001047738E-3</v>
      </c>
      <c r="I47" s="88"/>
    </row>
    <row r="48" spans="1:10" s="89" customFormat="1" ht="28.5">
      <c r="A48" s="83" t="s">
        <v>89</v>
      </c>
      <c r="B48" s="85" t="s">
        <v>70</v>
      </c>
      <c r="C48" s="86">
        <v>377.39099279999999</v>
      </c>
      <c r="D48" s="86">
        <v>9057.3838271999994</v>
      </c>
      <c r="E48" s="86"/>
      <c r="F48" s="86">
        <f>SUM('2020'!$C48:$E48)</f>
        <v>9434.7748199999987</v>
      </c>
      <c r="G48" s="87"/>
      <c r="H48" s="87"/>
      <c r="I48" s="88"/>
    </row>
    <row r="49" spans="1:12" s="89" customFormat="1" ht="28">
      <c r="A49" s="93" t="s">
        <v>91</v>
      </c>
      <c r="B49" s="94" t="s">
        <v>70</v>
      </c>
      <c r="C49" s="95">
        <f>C50+C51+C52+C53+C54+C55</f>
        <v>14.987885500000001</v>
      </c>
      <c r="D49" s="95">
        <f>D50+D51+D52+D53+D54+D55</f>
        <v>14972.912689060002</v>
      </c>
      <c r="E49" s="95"/>
      <c r="F49" s="95">
        <f>F50+F51+F52+F53+F54+F55</f>
        <v>14987.900574559999</v>
      </c>
      <c r="G49" s="87"/>
      <c r="H49" s="87"/>
      <c r="I49" s="88"/>
    </row>
    <row r="50" spans="1:12" s="89" customFormat="1">
      <c r="A50" s="83" t="s">
        <v>59</v>
      </c>
      <c r="B50" s="85" t="s">
        <v>70</v>
      </c>
      <c r="C50" s="86">
        <v>1.31747616</v>
      </c>
      <c r="D50" s="86">
        <v>1316.1586838400001</v>
      </c>
      <c r="E50" s="86"/>
      <c r="F50" s="86">
        <f>SUM('2020'!$C50:$E50)</f>
        <v>1317.4761600000002</v>
      </c>
      <c r="G50" s="87"/>
      <c r="H50" s="87"/>
      <c r="I50" s="88"/>
      <c r="K50" s="88">
        <f>F49-114987.9</f>
        <v>-99999.999425439994</v>
      </c>
    </row>
    <row r="51" spans="1:12" s="89" customFormat="1">
      <c r="A51" s="83" t="s">
        <v>58</v>
      </c>
      <c r="B51" s="85" t="s">
        <v>70</v>
      </c>
      <c r="C51" s="86">
        <v>2.24775064</v>
      </c>
      <c r="D51" s="86">
        <f>2245.50288936-0.38</f>
        <v>2245.12288936</v>
      </c>
      <c r="E51" s="86"/>
      <c r="F51" s="86">
        <f>SUM('2020'!$C51:$E51)</f>
        <v>2247.3706400000001</v>
      </c>
      <c r="G51" s="87"/>
      <c r="H51" s="87"/>
      <c r="I51" s="88"/>
    </row>
    <row r="52" spans="1:12" s="89" customFormat="1">
      <c r="A52" s="83" t="s">
        <v>57</v>
      </c>
      <c r="B52" s="85" t="s">
        <v>70</v>
      </c>
      <c r="C52" s="86">
        <v>10.233409400000001</v>
      </c>
      <c r="D52" s="86">
        <v>10223.175990600001</v>
      </c>
      <c r="E52" s="86"/>
      <c r="F52" s="86">
        <f>SUM('2020'!$C52:$E52)</f>
        <v>10233.4094</v>
      </c>
      <c r="G52" s="87"/>
      <c r="H52" s="87"/>
      <c r="I52" s="88"/>
    </row>
    <row r="53" spans="1:12" s="89" customFormat="1">
      <c r="A53" s="83" t="s">
        <v>69</v>
      </c>
      <c r="B53" s="85" t="s">
        <v>70</v>
      </c>
      <c r="C53" s="86">
        <v>0.31608881</v>
      </c>
      <c r="D53" s="86">
        <v>315.77272119000003</v>
      </c>
      <c r="E53" s="86"/>
      <c r="F53" s="86">
        <f>SUM('2020'!$C53:$D53)</f>
        <v>316.08881000000002</v>
      </c>
      <c r="G53" s="87"/>
      <c r="H53" s="87"/>
      <c r="I53" s="88"/>
    </row>
    <row r="54" spans="1:12" s="89" customFormat="1" ht="25.5" customHeight="1">
      <c r="A54" s="83" t="s">
        <v>90</v>
      </c>
      <c r="B54" s="85" t="s">
        <v>70</v>
      </c>
      <c r="C54" s="86">
        <v>0.47808592999999999</v>
      </c>
      <c r="D54" s="86">
        <v>477.60784407</v>
      </c>
      <c r="E54" s="86"/>
      <c r="F54" s="86">
        <f>SUM('2020'!$C54:$E54)</f>
        <v>478.08593000000002</v>
      </c>
      <c r="G54" s="87"/>
      <c r="H54" s="87"/>
      <c r="I54" s="88">
        <f>D55+C55</f>
        <v>395.46963456000003</v>
      </c>
      <c r="K54" s="88">
        <f>F49-14987.9</f>
        <v>5.7455999922240153E-4</v>
      </c>
    </row>
    <row r="55" spans="1:12" s="89" customFormat="1" ht="28.5">
      <c r="A55" s="83" t="s">
        <v>91</v>
      </c>
      <c r="B55" s="85" t="s">
        <v>70</v>
      </c>
      <c r="C55" s="86">
        <f>'2020'!$D55*0.1%</f>
        <v>0.39507456000000002</v>
      </c>
      <c r="D55" s="86">
        <v>395.07456000000002</v>
      </c>
      <c r="E55" s="86"/>
      <c r="F55" s="86">
        <f>SUM('2020'!$C55:$E55)</f>
        <v>395.46963456000003</v>
      </c>
      <c r="G55" s="87">
        <f>'2020'!$C55+'2020'!$D55</f>
        <v>395.46963456000003</v>
      </c>
      <c r="H55" s="87"/>
      <c r="I55" s="88"/>
    </row>
    <row r="56" spans="1:12" s="97" customFormat="1">
      <c r="A56" s="90" t="s">
        <v>61</v>
      </c>
      <c r="B56" s="91" t="s">
        <v>70</v>
      </c>
      <c r="C56" s="92">
        <f>C57+C58</f>
        <v>1429.5972655999974</v>
      </c>
      <c r="D56" s="92">
        <f>+D46+D49</f>
        <v>39198.566897060002</v>
      </c>
      <c r="E56" s="92"/>
      <c r="F56" s="95">
        <f>SUM('2020'!$C56:$E56)</f>
        <v>40628.164162659996</v>
      </c>
      <c r="G56" s="87"/>
      <c r="H56" s="87"/>
      <c r="I56" s="96"/>
    </row>
    <row r="57" spans="1:12" s="97" customFormat="1">
      <c r="A57" s="24" t="s">
        <v>56</v>
      </c>
      <c r="B57" s="85" t="s">
        <v>70</v>
      </c>
      <c r="C57" s="86">
        <v>352.40998560000003</v>
      </c>
      <c r="D57" s="86">
        <f>8457.8396544+6.13-0.0001</f>
        <v>8463.9695544000006</v>
      </c>
      <c r="E57" s="86"/>
      <c r="F57" s="13">
        <f>SUM('2020'!$C57:$E57)</f>
        <v>8816.3795399999999</v>
      </c>
      <c r="G57" s="87"/>
      <c r="H57" s="87"/>
      <c r="I57" s="96"/>
    </row>
    <row r="58" spans="1:12" s="97" customFormat="1" ht="42.5">
      <c r="A58" s="24" t="s">
        <v>68</v>
      </c>
      <c r="B58" s="85" t="s">
        <v>70</v>
      </c>
      <c r="C58" s="86">
        <v>1077.1872799999974</v>
      </c>
      <c r="D58" s="86">
        <v>25696.832170000001</v>
      </c>
      <c r="E58" s="86"/>
      <c r="F58" s="13">
        <f>SUM('2020'!$C58:$E58)</f>
        <v>26774.01945</v>
      </c>
      <c r="G58" s="87"/>
      <c r="H58" s="87"/>
      <c r="I58" s="96">
        <f>F57+'2020'!$F58</f>
        <v>35590.398990000002</v>
      </c>
    </row>
    <row r="59" spans="1:12">
      <c r="A59" s="63" t="s">
        <v>53</v>
      </c>
      <c r="B59" s="62"/>
      <c r="C59" s="12">
        <f>C57+C58+C49+C46+C38+C37</f>
        <v>29257.209208099997</v>
      </c>
      <c r="D59" s="12">
        <f>D57+D58+D49+D46+D38+D37</f>
        <v>73359.368621460002</v>
      </c>
      <c r="E59" s="12">
        <f>SUBTOTAL(109,E37:E58)</f>
        <v>0</v>
      </c>
      <c r="F59" s="12" t="s">
        <v>110</v>
      </c>
      <c r="G59" s="81"/>
      <c r="H59" s="81"/>
    </row>
    <row r="60" spans="1:12" ht="20">
      <c r="A60" s="348" t="s">
        <v>49</v>
      </c>
      <c r="B60" s="348"/>
      <c r="C60" s="348"/>
      <c r="D60" s="348"/>
      <c r="E60" s="14"/>
      <c r="F60" s="58"/>
    </row>
    <row r="61" spans="1:12">
      <c r="A61" s="64" t="s">
        <v>0</v>
      </c>
      <c r="B61" s="65" t="s">
        <v>63</v>
      </c>
      <c r="C61" s="66" t="s">
        <v>2</v>
      </c>
      <c r="D61" s="66" t="s">
        <v>1</v>
      </c>
      <c r="E61" s="66" t="s">
        <v>3</v>
      </c>
      <c r="F61" s="66" t="s">
        <v>55</v>
      </c>
      <c r="K61" s="11">
        <f>F58+F57</f>
        <v>35590.398990000002</v>
      </c>
      <c r="L61" s="11">
        <f>35590.4-K61</f>
        <v>1.0099999999511056E-3</v>
      </c>
    </row>
    <row r="62" spans="1:12">
      <c r="A62" s="25" t="s">
        <v>75</v>
      </c>
      <c r="B62" s="67" t="s">
        <v>70</v>
      </c>
      <c r="C62" s="13">
        <v>600</v>
      </c>
      <c r="D62" s="13">
        <v>0</v>
      </c>
      <c r="E62" s="13"/>
      <c r="F62" s="13">
        <f>'2020'!$C62+'2020'!$D62+'2020'!$E62</f>
        <v>600</v>
      </c>
    </row>
    <row r="63" spans="1:12">
      <c r="A63" s="25" t="s">
        <v>76</v>
      </c>
      <c r="B63" s="67" t="s">
        <v>70</v>
      </c>
      <c r="C63" s="13">
        <v>400</v>
      </c>
      <c r="D63" s="13">
        <v>0</v>
      </c>
      <c r="E63" s="13"/>
      <c r="F63" s="13">
        <f>'2020'!$C63+'2020'!$D63+'2020'!$E63</f>
        <v>400</v>
      </c>
    </row>
    <row r="64" spans="1:12">
      <c r="A64" s="25" t="s">
        <v>77</v>
      </c>
      <c r="B64" s="67" t="s">
        <v>70</v>
      </c>
      <c r="C64" s="13">
        <v>1000</v>
      </c>
      <c r="D64" s="13">
        <v>0</v>
      </c>
      <c r="E64" s="13"/>
      <c r="F64" s="13">
        <f>'2020'!$C64+'2020'!$D64+'2020'!$E64</f>
        <v>1000</v>
      </c>
      <c r="H64" s="11">
        <v>102616.57782956</v>
      </c>
    </row>
    <row r="65" spans="1:9">
      <c r="A65" s="25" t="s">
        <v>78</v>
      </c>
      <c r="B65" s="67" t="s">
        <v>70</v>
      </c>
      <c r="C65" s="13">
        <v>2000</v>
      </c>
      <c r="D65" s="13">
        <v>0</v>
      </c>
      <c r="E65" s="13"/>
      <c r="F65" s="13">
        <f>'2020'!$C65+'2020'!$D65+'2020'!$E65</f>
        <v>2000</v>
      </c>
    </row>
    <row r="66" spans="1:9">
      <c r="A66" s="25" t="s">
        <v>92</v>
      </c>
      <c r="B66" s="67" t="s">
        <v>70</v>
      </c>
      <c r="C66" s="13">
        <v>1100</v>
      </c>
      <c r="D66" s="13">
        <v>0</v>
      </c>
      <c r="E66" s="13"/>
      <c r="F66" s="13">
        <f>'2020'!$C66+'2020'!$D66+'2020'!$E66</f>
        <v>1100</v>
      </c>
    </row>
    <row r="67" spans="1:9">
      <c r="A67" s="25" t="s">
        <v>19</v>
      </c>
      <c r="B67" s="67" t="s">
        <v>70</v>
      </c>
      <c r="C67" s="13">
        <v>7976.6</v>
      </c>
      <c r="D67" s="13">
        <v>0</v>
      </c>
      <c r="E67" s="13"/>
      <c r="F67" s="13">
        <f>'2020'!$C67+'2020'!$D67+'2020'!$E67</f>
        <v>7976.6</v>
      </c>
    </row>
    <row r="68" spans="1:9">
      <c r="A68" s="25" t="s">
        <v>79</v>
      </c>
      <c r="B68" s="67" t="s">
        <v>70</v>
      </c>
      <c r="C68" s="13">
        <f>1059.778149875+102.71</f>
        <v>1162.4881498750001</v>
      </c>
      <c r="D68" s="13">
        <v>0</v>
      </c>
      <c r="E68" s="13"/>
      <c r="F68" s="13">
        <f>'2020'!$C68+'2020'!$D68+'2020'!$E68</f>
        <v>1162.4881498750001</v>
      </c>
    </row>
    <row r="69" spans="1:9">
      <c r="A69" s="68" t="s">
        <v>61</v>
      </c>
      <c r="B69" s="69"/>
      <c r="C69" s="10"/>
      <c r="D69" s="10"/>
      <c r="E69" s="10"/>
      <c r="F69" s="10"/>
    </row>
    <row r="70" spans="1:9" ht="28">
      <c r="A70" s="25" t="s">
        <v>64</v>
      </c>
      <c r="B70" s="67" t="s">
        <v>71</v>
      </c>
      <c r="C70" s="13">
        <v>1027.8624574999997</v>
      </c>
      <c r="D70" s="70">
        <v>28203.650150499998</v>
      </c>
      <c r="E70" s="13"/>
      <c r="F70" s="13">
        <f>SUM('2020'!$C70:$E70)</f>
        <v>29231.512607999997</v>
      </c>
    </row>
    <row r="71" spans="1:9" ht="31">
      <c r="A71" s="32" t="s">
        <v>80</v>
      </c>
      <c r="B71" s="67" t="s">
        <v>71</v>
      </c>
      <c r="C71" s="13">
        <v>1484.4026395000001</v>
      </c>
      <c r="D71" s="43">
        <v>10165.263472999999</v>
      </c>
      <c r="E71" s="13"/>
      <c r="F71" s="13">
        <f>SUM('2020'!$C71:$E71)</f>
        <v>11649.666112499999</v>
      </c>
    </row>
    <row r="72" spans="1:9" ht="46.5">
      <c r="A72" s="32" t="s">
        <v>81</v>
      </c>
      <c r="B72" s="67" t="s">
        <v>71</v>
      </c>
      <c r="C72" s="13">
        <v>535.013867</v>
      </c>
      <c r="D72" s="43">
        <v>11263.031412999999</v>
      </c>
      <c r="E72" s="13"/>
      <c r="F72" s="13">
        <f>SUM('2020'!$C72:$E72)</f>
        <v>11798.045279999998</v>
      </c>
    </row>
    <row r="73" spans="1:9" ht="31">
      <c r="A73" s="32" t="s">
        <v>82</v>
      </c>
      <c r="B73" s="67" t="s">
        <v>71</v>
      </c>
      <c r="C73" s="13">
        <v>592.79112699999996</v>
      </c>
      <c r="D73" s="43">
        <v>10109.826356000001</v>
      </c>
      <c r="E73" s="13"/>
      <c r="F73" s="13">
        <f>SUM('2020'!$C73:$E73)</f>
        <v>10702.617483000002</v>
      </c>
    </row>
    <row r="74" spans="1:9" ht="46.5">
      <c r="A74" s="49" t="s">
        <v>83</v>
      </c>
      <c r="B74" s="67" t="s">
        <v>71</v>
      </c>
      <c r="C74" s="13">
        <v>532.09612400000003</v>
      </c>
      <c r="D74" s="44">
        <v>11473.946442</v>
      </c>
      <c r="E74" s="13"/>
      <c r="F74" s="13">
        <f>SUM('2020'!$C74:$E74)</f>
        <v>12006.042566</v>
      </c>
    </row>
    <row r="75" spans="1:9" ht="46.5">
      <c r="A75" s="49" t="s">
        <v>84</v>
      </c>
      <c r="B75" s="67" t="s">
        <v>71</v>
      </c>
      <c r="C75" s="13">
        <v>603.89191799999992</v>
      </c>
      <c r="D75" s="43">
        <v>18552.917357874998</v>
      </c>
      <c r="E75" s="13"/>
      <c r="F75" s="13">
        <f>SUM('2020'!$C75:$E75)</f>
        <v>19156.809275874999</v>
      </c>
    </row>
    <row r="76" spans="1:9" ht="31">
      <c r="A76" s="49" t="s">
        <v>86</v>
      </c>
      <c r="B76" s="67" t="s">
        <v>71</v>
      </c>
      <c r="C76" s="13">
        <v>439.17086631578945</v>
      </c>
      <c r="D76" s="43">
        <f>11272.13646-2927.89</f>
        <v>8344.2464600000003</v>
      </c>
      <c r="E76" s="13"/>
      <c r="F76" s="13">
        <f>'2020'!$C76+'2020'!$D76+'2020'!$E76</f>
        <v>8783.41732631579</v>
      </c>
    </row>
    <row r="77" spans="1:9" ht="31">
      <c r="A77" s="49" t="s">
        <v>85</v>
      </c>
      <c r="B77" s="67" t="s">
        <v>71</v>
      </c>
      <c r="C77" s="13">
        <v>767.2165</v>
      </c>
      <c r="D77" s="43">
        <v>14577.113499999999</v>
      </c>
      <c r="E77" s="13"/>
      <c r="F77" s="13">
        <f>'2020'!$C77+'2020'!$D77+'2020'!$E77</f>
        <v>15344.33</v>
      </c>
    </row>
    <row r="78" spans="1:9">
      <c r="A78" s="71" t="s">
        <v>53</v>
      </c>
      <c r="B78" s="47"/>
      <c r="C78" s="13">
        <f>SUBTOTAL(109,C62:C77)</f>
        <v>20221.533649190787</v>
      </c>
      <c r="D78" s="13">
        <f>SUBTOTAL(109,D62:D77)</f>
        <v>112689.99515237499</v>
      </c>
      <c r="E78" s="13">
        <f>SUBTOTAL(109,E62:E77)</f>
        <v>0</v>
      </c>
      <c r="F78" s="99">
        <f>SUBTOTAL(109,F62:F77)</f>
        <v>132911.52880156579</v>
      </c>
    </row>
    <row r="79" spans="1:9" ht="20.5">
      <c r="A79" s="357" t="s">
        <v>50</v>
      </c>
      <c r="B79" s="358"/>
      <c r="C79" s="358"/>
      <c r="D79" s="358"/>
      <c r="E79" s="72"/>
      <c r="F79" s="58"/>
    </row>
    <row r="80" spans="1:9">
      <c r="A80" s="73" t="s">
        <v>0</v>
      </c>
      <c r="B80" s="65" t="s">
        <v>63</v>
      </c>
      <c r="C80" s="66" t="s">
        <v>2</v>
      </c>
      <c r="D80" s="66" t="s">
        <v>1</v>
      </c>
      <c r="E80" s="66" t="s">
        <v>3</v>
      </c>
      <c r="F80" s="66" t="s">
        <v>55</v>
      </c>
      <c r="G80" s="102" t="s">
        <v>106</v>
      </c>
      <c r="H80" s="102" t="s">
        <v>109</v>
      </c>
      <c r="I80" s="102" t="s">
        <v>113</v>
      </c>
    </row>
    <row r="81" spans="1:10">
      <c r="A81" s="74" t="s">
        <v>87</v>
      </c>
      <c r="B81" s="67" t="s">
        <v>72</v>
      </c>
      <c r="C81" s="13">
        <v>600</v>
      </c>
      <c r="D81" s="66"/>
      <c r="E81" s="66"/>
      <c r="F81" s="13">
        <f>'2020'!$C81+'2020'!$D81+'2020'!$E81</f>
        <v>600</v>
      </c>
      <c r="G81" s="87"/>
      <c r="H81" s="87"/>
      <c r="I81" s="87"/>
    </row>
    <row r="82" spans="1:10">
      <c r="A82" s="74" t="s">
        <v>76</v>
      </c>
      <c r="B82" s="67" t="s">
        <v>72</v>
      </c>
      <c r="C82" s="13">
        <v>400</v>
      </c>
      <c r="D82" s="66"/>
      <c r="E82" s="66"/>
      <c r="F82" s="13">
        <f>'2020'!$C82+'2020'!$D82+'2020'!$E82</f>
        <v>400</v>
      </c>
      <c r="G82" s="87"/>
      <c r="H82" s="87"/>
      <c r="I82" s="87"/>
    </row>
    <row r="83" spans="1:10" ht="28">
      <c r="A83" s="74" t="s">
        <v>62</v>
      </c>
      <c r="B83" s="67" t="s">
        <v>72</v>
      </c>
      <c r="C83" s="13">
        <f>5046.72+619.66-343+0.779+0.01+0.74-1000</f>
        <v>4324.9090000000006</v>
      </c>
      <c r="D83" s="13"/>
      <c r="E83" s="13"/>
      <c r="F83" s="13">
        <f>'2020'!$C83+'2020'!$D83+'2020'!$E83</f>
        <v>4324.9090000000006</v>
      </c>
      <c r="G83" s="87"/>
      <c r="H83" s="87"/>
      <c r="I83" s="87"/>
    </row>
    <row r="84" spans="1:10">
      <c r="A84" s="74" t="s">
        <v>19</v>
      </c>
      <c r="B84" s="67" t="s">
        <v>72</v>
      </c>
      <c r="C84" s="13">
        <v>7976.6</v>
      </c>
      <c r="D84" s="13"/>
      <c r="E84" s="13"/>
      <c r="F84" s="13">
        <f>'2020'!$C84+'2020'!$D84+'2020'!$E84</f>
        <v>7976.6</v>
      </c>
      <c r="G84" s="87"/>
      <c r="H84" s="87"/>
      <c r="I84" s="87"/>
    </row>
    <row r="85" spans="1:10">
      <c r="A85" s="74" t="s">
        <v>79</v>
      </c>
      <c r="B85" s="67" t="s">
        <v>72</v>
      </c>
      <c r="C85" s="13">
        <f>2064.15</f>
        <v>2064.15</v>
      </c>
      <c r="D85" s="13"/>
      <c r="E85" s="13"/>
      <c r="F85" s="13">
        <f>'2020'!$C85+'2020'!$D85+'2020'!$E85</f>
        <v>2064.15</v>
      </c>
      <c r="G85" s="87"/>
      <c r="H85" s="87"/>
      <c r="I85" s="87"/>
    </row>
    <row r="86" spans="1:10">
      <c r="A86" s="68" t="s">
        <v>61</v>
      </c>
      <c r="B86" s="69"/>
      <c r="C86" s="10"/>
      <c r="D86" s="10"/>
      <c r="E86" s="10"/>
      <c r="F86" s="10"/>
      <c r="G86" s="87"/>
      <c r="H86" s="87"/>
      <c r="I86" s="87"/>
    </row>
    <row r="87" spans="1:10">
      <c r="A87" s="74" t="s">
        <v>20</v>
      </c>
      <c r="B87" s="67" t="s">
        <v>72</v>
      </c>
      <c r="C87" s="13">
        <v>850</v>
      </c>
      <c r="D87" s="13">
        <f>'2020'!$F87-'2020'!$C87</f>
        <v>16150</v>
      </c>
      <c r="E87" s="13"/>
      <c r="F87" s="13">
        <v>17000</v>
      </c>
      <c r="G87" s="87"/>
      <c r="H87" s="87"/>
      <c r="I87" s="87"/>
    </row>
    <row r="88" spans="1:10">
      <c r="A88" s="74" t="s">
        <v>21</v>
      </c>
      <c r="B88" s="67" t="s">
        <v>72</v>
      </c>
      <c r="C88" s="13">
        <v>700</v>
      </c>
      <c r="D88" s="13">
        <f>'2020'!$F88-'2020'!$C88</f>
        <v>13300</v>
      </c>
      <c r="E88" s="13"/>
      <c r="F88" s="13">
        <v>14000</v>
      </c>
      <c r="G88" s="87"/>
      <c r="H88" s="87"/>
      <c r="I88" s="87"/>
    </row>
    <row r="89" spans="1:10">
      <c r="A89" s="74" t="s">
        <v>93</v>
      </c>
      <c r="B89" s="67" t="s">
        <v>72</v>
      </c>
      <c r="C89" s="13">
        <v>850</v>
      </c>
      <c r="D89" s="13">
        <f>'2020'!$F89-'2020'!$C89</f>
        <v>16150</v>
      </c>
      <c r="E89" s="13"/>
      <c r="F89" s="13">
        <v>17000</v>
      </c>
      <c r="G89" s="87"/>
      <c r="H89" s="87"/>
      <c r="I89" s="87"/>
    </row>
    <row r="90" spans="1:10">
      <c r="A90" s="74" t="s">
        <v>111</v>
      </c>
      <c r="B90" s="67" t="s">
        <v>72</v>
      </c>
      <c r="C90" s="13">
        <v>468</v>
      </c>
      <c r="D90" s="13">
        <f>'2020'!$F90-'2020'!$C90</f>
        <v>8892</v>
      </c>
      <c r="E90" s="13"/>
      <c r="F90" s="13">
        <v>9360</v>
      </c>
      <c r="G90" s="87"/>
      <c r="H90" s="87"/>
      <c r="I90" s="87"/>
    </row>
    <row r="91" spans="1:10">
      <c r="A91" s="74" t="s">
        <v>94</v>
      </c>
      <c r="B91" s="67" t="s">
        <v>72</v>
      </c>
      <c r="C91" s="13">
        <v>850</v>
      </c>
      <c r="D91" s="13">
        <f>'2020'!$F91-'2020'!$C91</f>
        <v>16150</v>
      </c>
      <c r="E91" s="13"/>
      <c r="F91" s="13">
        <v>17000</v>
      </c>
      <c r="G91" s="87"/>
      <c r="H91" s="87"/>
      <c r="I91" s="87"/>
    </row>
    <row r="92" spans="1:10">
      <c r="A92" s="74" t="s">
        <v>95</v>
      </c>
      <c r="B92" s="67" t="s">
        <v>72</v>
      </c>
      <c r="C92" s="13">
        <v>872.7</v>
      </c>
      <c r="D92" s="13">
        <f>'2020'!$F92-'2020'!$C92</f>
        <v>16581.3</v>
      </c>
      <c r="E92" s="13"/>
      <c r="F92" s="13">
        <v>17454</v>
      </c>
      <c r="G92" s="87"/>
      <c r="H92" s="87"/>
      <c r="I92" s="87"/>
    </row>
    <row r="93" spans="1:10">
      <c r="A93" s="74" t="s">
        <v>112</v>
      </c>
      <c r="B93" s="67" t="s">
        <v>72</v>
      </c>
      <c r="C93" s="13">
        <v>299.15800000000002</v>
      </c>
      <c r="D93" s="13">
        <f>'2020'!$F93-'2020'!$C93</f>
        <v>5684.0019999999995</v>
      </c>
      <c r="E93" s="13"/>
      <c r="F93" s="13">
        <v>5983.16</v>
      </c>
      <c r="G93" s="87"/>
      <c r="H93" s="87"/>
      <c r="I93" s="87"/>
    </row>
    <row r="94" spans="1:10">
      <c r="A94" s="75" t="s">
        <v>53</v>
      </c>
      <c r="B94" s="67"/>
      <c r="C94" s="13">
        <f>C81+C82+C83+C84+C85+C87+C88+C89+C90+C91+C92+C93</f>
        <v>20255.517</v>
      </c>
      <c r="D94" s="13">
        <f>SUBTOTAL(109,D81:D93)</f>
        <v>92907.301999999996</v>
      </c>
      <c r="E94" s="13"/>
      <c r="F94" s="13">
        <f>F81+F82+F83+F84+F85+F87+F88+F89+F90+F91+F92+F93</f>
        <v>113162.819</v>
      </c>
      <c r="G94" s="101"/>
      <c r="H94" s="101"/>
      <c r="I94" s="101"/>
      <c r="J94" s="11"/>
    </row>
    <row r="95" spans="1:10" ht="20">
      <c r="A95" s="359" t="s">
        <v>51</v>
      </c>
      <c r="B95" s="359"/>
      <c r="C95" s="359"/>
      <c r="D95" s="359"/>
      <c r="E95" s="72"/>
      <c r="F95" s="58"/>
    </row>
    <row r="96" spans="1:10">
      <c r="A96" s="73" t="s">
        <v>0</v>
      </c>
      <c r="B96" s="54" t="s">
        <v>63</v>
      </c>
      <c r="C96" s="66" t="s">
        <v>2</v>
      </c>
      <c r="D96" s="66" t="s">
        <v>1</v>
      </c>
      <c r="E96" s="66" t="s">
        <v>3</v>
      </c>
      <c r="F96" s="66" t="s">
        <v>55</v>
      </c>
    </row>
    <row r="97" spans="1:11">
      <c r="A97" s="79" t="s">
        <v>105</v>
      </c>
      <c r="B97" s="54"/>
      <c r="C97" s="66"/>
      <c r="D97" s="66"/>
      <c r="E97" s="66"/>
      <c r="F97" s="66">
        <f>'2020'!$E97+'2020'!$D97+'2020'!$C97</f>
        <v>0</v>
      </c>
    </row>
    <row r="98" spans="1:11">
      <c r="A98" s="74" t="s">
        <v>87</v>
      </c>
      <c r="B98" s="67" t="s">
        <v>73</v>
      </c>
      <c r="C98" s="13">
        <v>600</v>
      </c>
      <c r="D98" s="66"/>
      <c r="E98" s="66"/>
      <c r="F98" s="13">
        <f>'2020'!$E98+'2020'!$D98+'2020'!$C98</f>
        <v>600</v>
      </c>
    </row>
    <row r="99" spans="1:11">
      <c r="A99" s="74" t="s">
        <v>76</v>
      </c>
      <c r="B99" s="67" t="s">
        <v>73</v>
      </c>
      <c r="C99" s="13">
        <v>400</v>
      </c>
      <c r="D99" s="66"/>
      <c r="E99" s="66"/>
      <c r="F99" s="13">
        <f>'2020'!$E99+'2020'!$D99+'2020'!$C99</f>
        <v>400</v>
      </c>
    </row>
    <row r="100" spans="1:11" ht="28">
      <c r="A100" s="74" t="s">
        <v>62</v>
      </c>
      <c r="B100" s="67" t="s">
        <v>73</v>
      </c>
      <c r="C100" s="13">
        <f>4046.72+58.53+0.15</f>
        <v>4105.3999999999996</v>
      </c>
      <c r="D100" s="66"/>
      <c r="E100" s="66"/>
      <c r="F100" s="13">
        <f>'2020'!$E100+'2020'!$D100+'2020'!$C100</f>
        <v>4105.3999999999996</v>
      </c>
    </row>
    <row r="101" spans="1:11">
      <c r="A101" s="74" t="s">
        <v>19</v>
      </c>
      <c r="B101" s="67" t="s">
        <v>73</v>
      </c>
      <c r="C101" s="13">
        <v>7976.6</v>
      </c>
      <c r="D101" s="66"/>
      <c r="E101" s="66"/>
      <c r="F101" s="13">
        <f>'2020'!$E101+'2020'!$D101+'2020'!$C101</f>
        <v>7976.6</v>
      </c>
    </row>
    <row r="102" spans="1:11">
      <c r="A102" s="74" t="s">
        <v>79</v>
      </c>
      <c r="B102" s="67" t="s">
        <v>73</v>
      </c>
      <c r="C102" s="13">
        <v>2064.15</v>
      </c>
      <c r="D102" s="66"/>
      <c r="E102" s="66"/>
      <c r="F102" s="13">
        <f>'2020'!$E102+'2020'!$D102+'2020'!$C102</f>
        <v>2064.15</v>
      </c>
      <c r="K102" s="11"/>
    </row>
    <row r="103" spans="1:11">
      <c r="A103" s="74" t="s">
        <v>61</v>
      </c>
      <c r="B103" s="67"/>
      <c r="C103" s="13"/>
      <c r="D103" s="13"/>
      <c r="E103" s="13"/>
      <c r="F103" s="13">
        <f>'2020'!$E103+'2020'!$D103+'2020'!$C103</f>
        <v>0</v>
      </c>
      <c r="K103" s="11"/>
    </row>
    <row r="104" spans="1:11" s="105" customFormat="1">
      <c r="A104" s="104" t="s">
        <v>22</v>
      </c>
      <c r="B104" s="85" t="s">
        <v>73</v>
      </c>
      <c r="C104" s="86">
        <v>1200</v>
      </c>
      <c r="D104" s="86">
        <v>22800</v>
      </c>
      <c r="E104" s="86"/>
      <c r="F104" s="86">
        <v>24000</v>
      </c>
      <c r="H104" s="106"/>
      <c r="I104" s="106"/>
      <c r="J104" s="106"/>
      <c r="K104" s="106"/>
    </row>
    <row r="105" spans="1:11" s="105" customFormat="1">
      <c r="A105" s="104" t="s">
        <v>114</v>
      </c>
      <c r="B105" s="85" t="s">
        <v>73</v>
      </c>
      <c r="C105" s="86">
        <v>200</v>
      </c>
      <c r="D105" s="86">
        <v>3800</v>
      </c>
      <c r="E105" s="86"/>
      <c r="F105" s="86">
        <v>4000</v>
      </c>
      <c r="H105" s="106"/>
      <c r="I105" s="106"/>
      <c r="J105" s="106"/>
      <c r="K105" s="106"/>
    </row>
    <row r="106" spans="1:11" s="105" customFormat="1">
      <c r="A106" s="104" t="s">
        <v>115</v>
      </c>
      <c r="B106" s="85" t="s">
        <v>73</v>
      </c>
      <c r="C106" s="86">
        <v>840</v>
      </c>
      <c r="D106" s="86">
        <v>15960</v>
      </c>
      <c r="E106" s="86"/>
      <c r="F106" s="86">
        <v>16800</v>
      </c>
      <c r="H106" s="106"/>
      <c r="I106" s="106"/>
      <c r="J106" s="106"/>
      <c r="K106" s="106"/>
    </row>
    <row r="107" spans="1:11" s="105" customFormat="1" hidden="1">
      <c r="A107" s="104"/>
      <c r="B107" s="85"/>
      <c r="C107" s="86"/>
      <c r="D107" s="86"/>
      <c r="E107" s="86"/>
      <c r="F107" s="86"/>
      <c r="H107" s="106"/>
      <c r="I107" s="106"/>
      <c r="J107" s="106"/>
      <c r="K107" s="106"/>
    </row>
    <row r="108" spans="1:11" s="105" customFormat="1" hidden="1">
      <c r="A108" s="104"/>
      <c r="B108" s="85"/>
      <c r="C108" s="86"/>
      <c r="D108" s="86"/>
      <c r="E108" s="86"/>
      <c r="F108" s="86"/>
      <c r="H108" s="106"/>
      <c r="I108" s="106"/>
      <c r="J108" s="106"/>
      <c r="K108" s="106"/>
    </row>
    <row r="109" spans="1:11" s="109" customFormat="1">
      <c r="A109" s="104" t="s">
        <v>116</v>
      </c>
      <c r="B109" s="107" t="s">
        <v>73</v>
      </c>
      <c r="C109" s="86">
        <v>165</v>
      </c>
      <c r="D109" s="86">
        <v>3135</v>
      </c>
      <c r="E109" s="108"/>
      <c r="F109" s="86">
        <v>3300</v>
      </c>
      <c r="H109" s="110"/>
      <c r="I109" s="106"/>
      <c r="J109" s="106"/>
      <c r="K109" s="106"/>
    </row>
    <row r="110" spans="1:11" s="105" customFormat="1">
      <c r="A110" s="104" t="s">
        <v>23</v>
      </c>
      <c r="B110" s="85" t="s">
        <v>73</v>
      </c>
      <c r="C110" s="86">
        <v>600</v>
      </c>
      <c r="D110" s="86">
        <v>11400</v>
      </c>
      <c r="E110" s="86"/>
      <c r="F110" s="86">
        <v>12000</v>
      </c>
      <c r="H110" s="106"/>
      <c r="I110" s="106"/>
      <c r="J110" s="106"/>
      <c r="K110" s="106"/>
    </row>
    <row r="111" spans="1:11" s="105" customFormat="1">
      <c r="A111" s="104" t="s">
        <v>117</v>
      </c>
      <c r="B111" s="85" t="s">
        <v>73</v>
      </c>
      <c r="C111" s="86">
        <v>400</v>
      </c>
      <c r="D111" s="86">
        <v>7600</v>
      </c>
      <c r="E111" s="86"/>
      <c r="F111" s="86">
        <v>8000</v>
      </c>
      <c r="H111" s="106"/>
      <c r="I111" s="106"/>
      <c r="J111" s="106">
        <f>F112-H112</f>
        <v>28213.005000000001</v>
      </c>
      <c r="K111" s="106"/>
    </row>
    <row r="112" spans="1:11" s="105" customFormat="1">
      <c r="A112" s="104"/>
      <c r="B112" s="85"/>
      <c r="C112" s="86">
        <v>1484.8950000000002</v>
      </c>
      <c r="D112" s="86">
        <v>28213.005000000001</v>
      </c>
      <c r="E112" s="86"/>
      <c r="F112" s="111">
        <v>29697.9</v>
      </c>
      <c r="H112" s="106">
        <f>'2020'!$F112*5%</f>
        <v>1484.8950000000002</v>
      </c>
      <c r="I112" s="106"/>
      <c r="J112" s="106"/>
      <c r="K112" s="106"/>
    </row>
    <row r="113" spans="1:11">
      <c r="A113" s="74"/>
      <c r="B113" s="67"/>
      <c r="C113" s="100"/>
      <c r="D113" s="100"/>
      <c r="E113" s="13"/>
      <c r="F113" s="13"/>
      <c r="I113" s="103"/>
      <c r="J113" s="103"/>
    </row>
    <row r="114" spans="1:11">
      <c r="A114" s="75" t="s">
        <v>53</v>
      </c>
      <c r="B114" s="67"/>
      <c r="C114" s="13">
        <f>C98+C99+C100+C101+C102+C104+C105+C106+C109+C110+C111+C112</f>
        <v>20036.045000000002</v>
      </c>
      <c r="D114" s="13">
        <f>SUBTOTAL(109,D97:D113)</f>
        <v>92908.005000000005</v>
      </c>
      <c r="E114" s="13">
        <f>SUBTOTAL(109,E97:E113)</f>
        <v>0</v>
      </c>
      <c r="F114" s="13">
        <f>SUBTOTAL(109,F97:F113)</f>
        <v>112944.04999999999</v>
      </c>
    </row>
    <row r="115" spans="1:11" ht="20">
      <c r="A115" s="359" t="s">
        <v>52</v>
      </c>
      <c r="B115" s="359"/>
      <c r="C115" s="359"/>
      <c r="D115" s="359"/>
      <c r="E115" s="72"/>
      <c r="F115" s="58"/>
    </row>
    <row r="116" spans="1:11">
      <c r="A116" s="73" t="s">
        <v>0</v>
      </c>
      <c r="B116" s="65" t="s">
        <v>63</v>
      </c>
      <c r="C116" s="66" t="s">
        <v>2</v>
      </c>
      <c r="D116" s="66" t="s">
        <v>1</v>
      </c>
      <c r="E116" s="66" t="s">
        <v>3</v>
      </c>
      <c r="F116" s="66" t="s">
        <v>55</v>
      </c>
    </row>
    <row r="117" spans="1:11">
      <c r="A117" s="74" t="s">
        <v>87</v>
      </c>
      <c r="B117" s="67" t="s">
        <v>74</v>
      </c>
      <c r="C117" s="13">
        <v>600</v>
      </c>
      <c r="D117" s="13"/>
      <c r="E117" s="13"/>
      <c r="F117" s="13">
        <f>SUM('2020'!$C117:$E117)</f>
        <v>600</v>
      </c>
      <c r="J117" s="11"/>
    </row>
    <row r="118" spans="1:11">
      <c r="A118" s="74" t="s">
        <v>76</v>
      </c>
      <c r="B118" s="67" t="s">
        <v>74</v>
      </c>
      <c r="C118" s="13">
        <v>400</v>
      </c>
      <c r="D118" s="13"/>
      <c r="E118" s="13"/>
      <c r="F118" s="13">
        <f>SUM('2020'!$C118:$E118)</f>
        <v>400</v>
      </c>
      <c r="K118" s="11"/>
    </row>
    <row r="119" spans="1:11" ht="28">
      <c r="A119" s="74" t="s">
        <v>62</v>
      </c>
      <c r="B119" s="67" t="s">
        <v>74</v>
      </c>
      <c r="C119" s="13">
        <v>4105.3999999999996</v>
      </c>
      <c r="D119" s="13"/>
      <c r="E119" s="13"/>
      <c r="F119" s="13">
        <f>SUM('2020'!$C119:$E119)</f>
        <v>4105.3999999999996</v>
      </c>
    </row>
    <row r="120" spans="1:11">
      <c r="A120" s="74" t="s">
        <v>19</v>
      </c>
      <c r="B120" s="67" t="s">
        <v>74</v>
      </c>
      <c r="C120" s="13">
        <v>7976.6</v>
      </c>
      <c r="D120" s="13"/>
      <c r="E120" s="13"/>
      <c r="F120" s="13">
        <f>SUM('2020'!$C120:$E120)</f>
        <v>7976.6</v>
      </c>
    </row>
    <row r="121" spans="1:11">
      <c r="A121" s="74" t="s">
        <v>79</v>
      </c>
      <c r="B121" s="67" t="s">
        <v>74</v>
      </c>
      <c r="C121" s="13">
        <v>2064.15</v>
      </c>
      <c r="D121" s="13"/>
      <c r="E121" s="13"/>
      <c r="F121" s="13">
        <f>SUM('2020'!$C121:$E121)</f>
        <v>2064.15</v>
      </c>
    </row>
    <row r="122" spans="1:11">
      <c r="A122" s="74" t="s">
        <v>33</v>
      </c>
      <c r="B122" s="67" t="s">
        <v>74</v>
      </c>
      <c r="C122" s="13">
        <v>630</v>
      </c>
      <c r="D122" s="13">
        <v>12000</v>
      </c>
      <c r="E122" s="13"/>
      <c r="F122" s="13">
        <f>SUM('2020'!$C122:$E122)</f>
        <v>12630</v>
      </c>
    </row>
    <row r="123" spans="1:11">
      <c r="A123" s="74" t="s">
        <v>34</v>
      </c>
      <c r="B123" s="67" t="s">
        <v>74</v>
      </c>
      <c r="C123" s="13">
        <v>63</v>
      </c>
      <c r="D123" s="13">
        <v>1200</v>
      </c>
      <c r="E123" s="13"/>
      <c r="F123" s="13">
        <f>SUM('2020'!$C123:$E123)</f>
        <v>1263</v>
      </c>
    </row>
    <row r="124" spans="1:11">
      <c r="A124" s="74" t="s">
        <v>35</v>
      </c>
      <c r="B124" s="67" t="s">
        <v>74</v>
      </c>
      <c r="C124" s="13">
        <v>294</v>
      </c>
      <c r="D124" s="13">
        <v>5600</v>
      </c>
      <c r="E124" s="13"/>
      <c r="F124" s="13">
        <f>SUM('2020'!$C124:$E124)</f>
        <v>5894</v>
      </c>
    </row>
    <row r="125" spans="1:11">
      <c r="A125" s="74" t="s">
        <v>36</v>
      </c>
      <c r="B125" s="67" t="s">
        <v>74</v>
      </c>
      <c r="C125" s="13">
        <v>240</v>
      </c>
      <c r="D125" s="13">
        <v>3200</v>
      </c>
      <c r="E125" s="13"/>
      <c r="F125" s="13">
        <f>SUM('2020'!$C125:$E125)</f>
        <v>3440</v>
      </c>
    </row>
    <row r="126" spans="1:11">
      <c r="A126" s="74" t="s">
        <v>37</v>
      </c>
      <c r="B126" s="67" t="s">
        <v>74</v>
      </c>
      <c r="C126" s="13">
        <v>118.125</v>
      </c>
      <c r="D126" s="13">
        <v>2250</v>
      </c>
      <c r="E126" s="13"/>
      <c r="F126" s="13">
        <f>SUM('2020'!$C126:$E126)</f>
        <v>2368.125</v>
      </c>
    </row>
    <row r="127" spans="1:11">
      <c r="A127" s="74" t="s">
        <v>38</v>
      </c>
      <c r="B127" s="67" t="s">
        <v>74</v>
      </c>
      <c r="C127" s="13">
        <v>168</v>
      </c>
      <c r="D127" s="13">
        <v>3200</v>
      </c>
      <c r="E127" s="13"/>
      <c r="F127" s="13">
        <f>SUM('2020'!$C127:$E127)</f>
        <v>3368</v>
      </c>
    </row>
    <row r="128" spans="1:11">
      <c r="A128" s="74" t="s">
        <v>39</v>
      </c>
      <c r="B128" s="67" t="s">
        <v>74</v>
      </c>
      <c r="C128" s="13">
        <v>202.125</v>
      </c>
      <c r="D128" s="13">
        <v>3850</v>
      </c>
      <c r="E128" s="13"/>
      <c r="F128" s="13">
        <f>SUM('2020'!$C128:$E128)</f>
        <v>4052.125</v>
      </c>
    </row>
    <row r="129" spans="1:9">
      <c r="A129" s="74" t="s">
        <v>40</v>
      </c>
      <c r="B129" s="67" t="s">
        <v>74</v>
      </c>
      <c r="C129" s="13">
        <v>141.75</v>
      </c>
      <c r="D129" s="13">
        <v>2700</v>
      </c>
      <c r="E129" s="13"/>
      <c r="F129" s="13">
        <f>SUM('2020'!$C129:$E129)</f>
        <v>2841.75</v>
      </c>
    </row>
    <row r="130" spans="1:9">
      <c r="A130" s="74" t="s">
        <v>24</v>
      </c>
      <c r="B130" s="67" t="s">
        <v>74</v>
      </c>
      <c r="C130" s="13">
        <v>94.5</v>
      </c>
      <c r="D130" s="13">
        <v>1800</v>
      </c>
      <c r="E130" s="13"/>
      <c r="F130" s="13">
        <f>SUM('2020'!$C130:$E130)</f>
        <v>1894.5</v>
      </c>
    </row>
    <row r="131" spans="1:9" ht="28">
      <c r="A131" s="74" t="s">
        <v>25</v>
      </c>
      <c r="B131" s="67" t="s">
        <v>74</v>
      </c>
      <c r="C131" s="13">
        <v>259.875</v>
      </c>
      <c r="D131" s="13">
        <v>4950</v>
      </c>
      <c r="E131" s="13"/>
      <c r="F131" s="13">
        <f>SUM('2020'!$C131:$E131)</f>
        <v>5209.875</v>
      </c>
    </row>
    <row r="132" spans="1:9">
      <c r="A132" s="74" t="s">
        <v>26</v>
      </c>
      <c r="B132" s="67" t="s">
        <v>74</v>
      </c>
      <c r="C132" s="13">
        <v>141.75</v>
      </c>
      <c r="D132" s="13">
        <v>2700</v>
      </c>
      <c r="E132" s="13"/>
      <c r="F132" s="13">
        <f>SUM('2020'!$C132:$E132)</f>
        <v>2841.75</v>
      </c>
    </row>
    <row r="133" spans="1:9">
      <c r="A133" s="74" t="s">
        <v>27</v>
      </c>
      <c r="B133" s="67" t="s">
        <v>74</v>
      </c>
      <c r="C133" s="13">
        <v>141.75</v>
      </c>
      <c r="D133" s="13">
        <v>2700</v>
      </c>
      <c r="E133" s="13"/>
      <c r="F133" s="13">
        <f>SUM('2020'!$C133:$E133)</f>
        <v>2841.75</v>
      </c>
    </row>
    <row r="134" spans="1:9">
      <c r="A134" s="74" t="s">
        <v>28</v>
      </c>
      <c r="B134" s="67" t="s">
        <v>74</v>
      </c>
      <c r="C134" s="13">
        <v>210</v>
      </c>
      <c r="D134" s="13">
        <v>4000</v>
      </c>
      <c r="E134" s="13"/>
      <c r="F134" s="13">
        <f>SUM('2020'!$C134:$E134)</f>
        <v>4210</v>
      </c>
    </row>
    <row r="135" spans="1:9">
      <c r="A135" s="74" t="s">
        <v>29</v>
      </c>
      <c r="B135" s="67" t="s">
        <v>74</v>
      </c>
      <c r="C135" s="13">
        <v>141.75</v>
      </c>
      <c r="D135" s="13">
        <v>2700</v>
      </c>
      <c r="E135" s="13"/>
      <c r="F135" s="13">
        <f>SUM('2020'!$C135:$E135)</f>
        <v>2841.75</v>
      </c>
    </row>
    <row r="136" spans="1:9">
      <c r="A136" s="74" t="s">
        <v>30</v>
      </c>
      <c r="B136" s="67" t="s">
        <v>74</v>
      </c>
      <c r="C136" s="13">
        <v>315</v>
      </c>
      <c r="D136" s="13">
        <v>6000</v>
      </c>
      <c r="E136" s="13"/>
      <c r="F136" s="13">
        <f>SUM('2020'!$C136:$E136)</f>
        <v>6315</v>
      </c>
    </row>
    <row r="137" spans="1:9">
      <c r="A137" s="74" t="s">
        <v>31</v>
      </c>
      <c r="B137" s="67" t="s">
        <v>74</v>
      </c>
      <c r="C137" s="13">
        <v>157.5</v>
      </c>
      <c r="D137" s="13">
        <v>3000</v>
      </c>
      <c r="E137" s="13"/>
      <c r="F137" s="13">
        <f>SUM('2020'!$C137:$E137)</f>
        <v>3157.5</v>
      </c>
    </row>
    <row r="138" spans="1:9">
      <c r="A138" s="74" t="s">
        <v>32</v>
      </c>
      <c r="B138" s="67" t="s">
        <v>74</v>
      </c>
      <c r="C138" s="13">
        <v>141.75</v>
      </c>
      <c r="D138" s="13">
        <v>2700</v>
      </c>
      <c r="E138" s="13"/>
      <c r="F138" s="13">
        <f>SUM('2020'!$C138:$E138)</f>
        <v>2841.75</v>
      </c>
    </row>
    <row r="139" spans="1:9">
      <c r="A139" s="75" t="s">
        <v>53</v>
      </c>
      <c r="B139" s="67"/>
      <c r="C139" s="13">
        <f>C117+C118+C119+C120+C121</f>
        <v>15146.15</v>
      </c>
      <c r="D139" s="13">
        <f>SUBTOTAL(109,D117:D138)</f>
        <v>64550</v>
      </c>
      <c r="E139" s="13">
        <f>SUBTOTAL(109,E117:E138)</f>
        <v>0</v>
      </c>
      <c r="F139" s="13">
        <f>SUBTOTAL(109,F117:F138)</f>
        <v>83157.024999999994</v>
      </c>
    </row>
    <row r="141" spans="1:9" ht="15">
      <c r="A141" s="354" t="s">
        <v>96</v>
      </c>
      <c r="B141" s="355"/>
      <c r="C141" s="355"/>
      <c r="D141" s="355"/>
      <c r="E141" s="355"/>
      <c r="F141" s="355"/>
      <c r="G141" s="355"/>
      <c r="H141" s="355"/>
      <c r="I141" s="356"/>
    </row>
    <row r="142" spans="1:9" ht="15.5">
      <c r="A142" s="349" t="s">
        <v>97</v>
      </c>
      <c r="B142" s="350" t="s">
        <v>98</v>
      </c>
      <c r="C142" s="351" t="s">
        <v>99</v>
      </c>
      <c r="D142" s="352"/>
      <c r="E142" s="352"/>
      <c r="F142" s="352"/>
      <c r="G142" s="352"/>
      <c r="H142" s="352"/>
      <c r="I142" s="353"/>
    </row>
    <row r="143" spans="1:9" ht="15.5">
      <c r="A143" s="349"/>
      <c r="B143" s="350"/>
      <c r="C143" s="76">
        <v>2020</v>
      </c>
      <c r="D143" s="76">
        <v>2021</v>
      </c>
      <c r="E143" s="76">
        <v>2022</v>
      </c>
      <c r="F143" s="76">
        <v>2023</v>
      </c>
      <c r="G143" s="76">
        <v>2024</v>
      </c>
      <c r="H143" s="76">
        <v>2025</v>
      </c>
      <c r="I143" s="77"/>
    </row>
    <row r="144" spans="1:9" ht="31">
      <c r="A144" s="78" t="s">
        <v>100</v>
      </c>
      <c r="B144" s="78" t="s">
        <v>101</v>
      </c>
      <c r="C144" s="78"/>
      <c r="D144" s="78"/>
      <c r="E144" s="78"/>
      <c r="F144" s="78"/>
      <c r="G144" s="78"/>
      <c r="H144" s="78"/>
      <c r="I144" s="78"/>
    </row>
    <row r="145" spans="1:9" ht="46.5">
      <c r="A145" s="78" t="s">
        <v>102</v>
      </c>
      <c r="B145" s="78" t="s">
        <v>103</v>
      </c>
      <c r="C145" s="78"/>
      <c r="D145" s="78"/>
      <c r="E145" s="78"/>
      <c r="F145" s="78"/>
      <c r="G145" s="78"/>
      <c r="H145" s="78"/>
      <c r="I145" s="78"/>
    </row>
  </sheetData>
  <mergeCells count="11">
    <mergeCell ref="A115:D115"/>
    <mergeCell ref="A5:E5"/>
    <mergeCell ref="A15:E15"/>
    <mergeCell ref="A35:D35"/>
    <mergeCell ref="A60:D60"/>
    <mergeCell ref="A142:A143"/>
    <mergeCell ref="B142:B143"/>
    <mergeCell ref="C142:I142"/>
    <mergeCell ref="A141:I141"/>
    <mergeCell ref="A79:D79"/>
    <mergeCell ref="A95:D9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Страница  &amp;P из &amp;N</odd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4:J28"/>
  <sheetViews>
    <sheetView zoomScale="85" zoomScaleNormal="85" zoomScaleSheetLayoutView="100" workbookViewId="0">
      <selection sqref="A1:E24"/>
    </sheetView>
  </sheetViews>
  <sheetFormatPr defaultColWidth="9.1796875" defaultRowHeight="14"/>
  <cols>
    <col min="1" max="1" width="63" style="22" customWidth="1"/>
    <col min="2" max="2" width="21" style="20" customWidth="1"/>
    <col min="3" max="3" width="22.1796875" style="20" customWidth="1"/>
    <col min="4" max="4" width="22.7265625" style="20" customWidth="1"/>
    <col min="5" max="5" width="33.81640625" style="20" customWidth="1"/>
    <col min="6" max="6" width="17.7265625" style="26" bestFit="1" customWidth="1"/>
    <col min="7" max="7" width="14" style="26" bestFit="1" customWidth="1"/>
    <col min="8" max="8" width="12.26953125" style="26" bestFit="1" customWidth="1"/>
    <col min="9" max="9" width="9.1796875" style="26"/>
    <col min="10" max="10" width="10" style="26" bestFit="1" customWidth="1"/>
    <col min="11" max="16384" width="9.1796875" style="20"/>
  </cols>
  <sheetData>
    <row r="4" spans="6:7">
      <c r="F4" s="27"/>
      <c r="G4" s="28"/>
    </row>
    <row r="5" spans="6:7">
      <c r="F5" s="27"/>
      <c r="G5" s="28"/>
    </row>
    <row r="6" spans="6:7">
      <c r="F6" s="27"/>
      <c r="G6" s="28"/>
    </row>
    <row r="7" spans="6:7">
      <c r="F7" s="27"/>
      <c r="G7" s="28"/>
    </row>
    <row r="8" spans="6:7">
      <c r="F8" s="27"/>
      <c r="G8" s="28"/>
    </row>
    <row r="9" spans="6:7">
      <c r="F9" s="27"/>
      <c r="G9" s="28"/>
    </row>
    <row r="10" spans="6:7">
      <c r="F10" s="27"/>
      <c r="G10" s="28"/>
    </row>
    <row r="11" spans="6:7">
      <c r="F11" s="27"/>
      <c r="G11" s="28">
        <f>SUM('2020'!F41:F45)+SUM('2020'!C47:C48)</f>
        <v>11027.244897</v>
      </c>
    </row>
    <row r="12" spans="6:7">
      <c r="F12" s="27"/>
      <c r="G12" s="29"/>
    </row>
    <row r="13" spans="6:7">
      <c r="F13" s="27"/>
      <c r="G13" s="29">
        <f>SUM('2020'!D47:D48)</f>
        <v>24225.654208</v>
      </c>
    </row>
    <row r="14" spans="6:7">
      <c r="F14" s="27"/>
      <c r="G14" s="30"/>
    </row>
    <row r="15" spans="6:7">
      <c r="F15" s="27"/>
      <c r="G15" s="30"/>
    </row>
    <row r="16" spans="6:7">
      <c r="F16" s="27"/>
      <c r="G16" s="30">
        <f>SUM('2020'!F50:F54)</f>
        <v>14592.430939999998</v>
      </c>
    </row>
    <row r="17" spans="1:7">
      <c r="F17" s="27"/>
      <c r="G17" s="30"/>
    </row>
    <row r="18" spans="1:7">
      <c r="F18" s="27"/>
      <c r="G18" s="30"/>
    </row>
    <row r="19" spans="1:7">
      <c r="F19" s="27"/>
    </row>
    <row r="20" spans="1:7">
      <c r="F20" s="27"/>
    </row>
    <row r="21" spans="1:7">
      <c r="F21" s="27"/>
    </row>
    <row r="22" spans="1:7">
      <c r="F22" s="27"/>
    </row>
    <row r="23" spans="1:7">
      <c r="F23" s="27"/>
      <c r="G23" s="26">
        <f>SUM('2020'!F57:F58)</f>
        <v>35590.398990000002</v>
      </c>
    </row>
    <row r="25" spans="1:7">
      <c r="D25" s="21"/>
      <c r="E25" s="21">
        <v>102106.5643</v>
      </c>
      <c r="F25" s="26">
        <f>SUM('2020'!$F$37:$F$58)</f>
        <v>195413.74167177998</v>
      </c>
    </row>
    <row r="26" spans="1:7">
      <c r="E26" s="20">
        <f>'2020'!$F$59-E25</f>
        <v>510.0057000000088</v>
      </c>
      <c r="F26" s="26">
        <v>100758.41009</v>
      </c>
    </row>
    <row r="28" spans="1:7">
      <c r="A28" s="23"/>
    </row>
  </sheetData>
  <phoneticPr fontId="3" type="noConversion"/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9"/>
  <sheetViews>
    <sheetView view="pageBreakPreview" topLeftCell="A95" zoomScale="115" zoomScaleNormal="100" zoomScaleSheetLayoutView="115" workbookViewId="0">
      <selection activeCell="D99" sqref="D99"/>
    </sheetView>
  </sheetViews>
  <sheetFormatPr defaultColWidth="31" defaultRowHeight="14.5"/>
  <cols>
    <col min="1" max="1" width="58.26953125" style="6" customWidth="1"/>
    <col min="2" max="2" width="20.54296875" style="45" customWidth="1"/>
    <col min="3" max="3" width="19.453125" style="40" customWidth="1"/>
    <col min="4" max="4" width="18.26953125" style="40" customWidth="1"/>
    <col min="5" max="5" width="10.1796875" style="40" hidden="1" customWidth="1"/>
    <col min="6" max="6" width="12" customWidth="1"/>
    <col min="7" max="7" width="14.81640625" hidden="1" customWidth="1"/>
    <col min="8" max="9" width="14.81640625" style="11" hidden="1" customWidth="1"/>
    <col min="10" max="12" width="14.81640625" hidden="1" customWidth="1"/>
    <col min="13" max="15" width="0" hidden="1" customWidth="1"/>
  </cols>
  <sheetData>
    <row r="1" spans="1:16" hidden="1">
      <c r="A1" s="1"/>
      <c r="B1" s="36"/>
      <c r="C1" s="2"/>
      <c r="D1" s="80"/>
      <c r="E1" s="4" t="s">
        <v>41</v>
      </c>
    </row>
    <row r="2" spans="1:16" hidden="1">
      <c r="A2" s="1"/>
      <c r="B2" s="36"/>
      <c r="C2" s="2"/>
      <c r="D2" s="80"/>
      <c r="E2" s="4" t="s">
        <v>42</v>
      </c>
    </row>
    <row r="3" spans="1:16" hidden="1">
      <c r="A3" s="1"/>
      <c r="B3" s="36"/>
      <c r="C3" s="2"/>
      <c r="D3" s="80"/>
      <c r="E3" s="4" t="s">
        <v>43</v>
      </c>
    </row>
    <row r="4" spans="1:16" hidden="1">
      <c r="A4" s="1"/>
      <c r="B4" s="36"/>
      <c r="C4" s="2"/>
      <c r="D4" s="80"/>
      <c r="E4" s="4" t="s">
        <v>140</v>
      </c>
    </row>
    <row r="5" spans="1:16" ht="80.25" hidden="1" customHeight="1">
      <c r="A5" s="342" t="s">
        <v>44</v>
      </c>
      <c r="B5" s="342"/>
      <c r="C5" s="342"/>
      <c r="D5" s="342"/>
      <c r="E5" s="342"/>
    </row>
    <row r="6" spans="1:16" hidden="1">
      <c r="A6" s="5" t="s">
        <v>46</v>
      </c>
      <c r="B6" s="38"/>
      <c r="C6" s="39"/>
      <c r="D6" s="39"/>
      <c r="E6" s="41"/>
    </row>
    <row r="7" spans="1:16" hidden="1">
      <c r="A7" s="18" t="s">
        <v>63</v>
      </c>
      <c r="B7" s="37" t="s">
        <v>2</v>
      </c>
      <c r="C7" s="15" t="s">
        <v>1</v>
      </c>
      <c r="D7" s="15" t="s">
        <v>3</v>
      </c>
      <c r="E7" s="19" t="s">
        <v>55</v>
      </c>
    </row>
    <row r="8" spans="1:16" hidden="1">
      <c r="A8" s="16">
        <v>2020</v>
      </c>
      <c r="B8" s="3">
        <f>'2023'!$C$34</f>
        <v>0</v>
      </c>
      <c r="C8" s="3">
        <f>'2023'!$D$34</f>
        <v>0</v>
      </c>
      <c r="D8" s="3">
        <f>'2023'!$E$151</f>
        <v>0</v>
      </c>
      <c r="E8" s="42">
        <f>SUM('2023'!$B8:$D8)</f>
        <v>0</v>
      </c>
      <c r="G8" s="11">
        <f>'2023'!$B8+B9+B10+B11+B12+B13</f>
        <v>122861.95055519999</v>
      </c>
      <c r="J8" s="33"/>
      <c r="K8" s="33"/>
      <c r="L8" s="33"/>
    </row>
    <row r="9" spans="1:16" ht="14.25" hidden="1" customHeight="1">
      <c r="A9" s="16">
        <v>2021</v>
      </c>
      <c r="B9" s="3">
        <v>29257.209208099997</v>
      </c>
      <c r="C9" s="3">
        <v>73359.368621460002</v>
      </c>
      <c r="D9" s="3">
        <f>'2023'!$E$151</f>
        <v>0</v>
      </c>
      <c r="E9" s="42">
        <v>102616.57</v>
      </c>
      <c r="G9" s="11">
        <f>C8+'2023'!$C9+C10+C11+C12+C13</f>
        <v>444715.39723915991</v>
      </c>
      <c r="J9" s="33"/>
      <c r="K9" s="33"/>
      <c r="L9" s="33"/>
    </row>
    <row r="10" spans="1:16" hidden="1">
      <c r="A10" s="16">
        <v>2022</v>
      </c>
      <c r="B10" s="3">
        <f>'2023'!$C$94</f>
        <v>36565.408877099995</v>
      </c>
      <c r="C10" s="3">
        <f>'2023'!$D$94</f>
        <v>154988.4861177</v>
      </c>
      <c r="D10" s="3">
        <f>'2023'!$E$151</f>
        <v>0</v>
      </c>
      <c r="E10" s="42">
        <f>SUM('2023'!$B10:$D10)</f>
        <v>191553.89499479998</v>
      </c>
      <c r="J10" s="33"/>
      <c r="K10" s="33"/>
      <c r="L10" s="33"/>
      <c r="P10">
        <f>'2023'!$E10-191553.89</f>
        <v>4.9947999650612473E-3</v>
      </c>
    </row>
    <row r="11" spans="1:16" hidden="1">
      <c r="A11" s="16">
        <v>2023</v>
      </c>
      <c r="B11" s="3">
        <v>20254.044969999999</v>
      </c>
      <c r="C11" s="3">
        <v>92908.76999999999</v>
      </c>
      <c r="D11" s="3">
        <f>'2023'!$E$151</f>
        <v>0</v>
      </c>
      <c r="E11" s="42">
        <v>113162.82</v>
      </c>
      <c r="G11" s="11">
        <f>E8+E9+E10+'2023'!$E11+E12+E13</f>
        <v>567577.34499479993</v>
      </c>
      <c r="J11" s="35"/>
      <c r="K11" s="35"/>
      <c r="L11" s="35"/>
    </row>
    <row r="12" spans="1:16" hidden="1">
      <c r="A12" s="16">
        <v>2024</v>
      </c>
      <c r="B12" s="3">
        <v>20035.262500000001</v>
      </c>
      <c r="C12" s="3">
        <v>92908.772499999992</v>
      </c>
      <c r="D12" s="3">
        <f>'2023'!$E$151</f>
        <v>0</v>
      </c>
      <c r="E12" s="42">
        <f>SUM('2023'!$B12:$D12)</f>
        <v>112944.03499999999</v>
      </c>
      <c r="J12" s="34"/>
      <c r="K12" s="34"/>
      <c r="L12" s="34"/>
    </row>
    <row r="13" spans="1:16" hidden="1">
      <c r="A13" s="17">
        <v>2025</v>
      </c>
      <c r="B13" s="3">
        <f>'2023'!$C$151</f>
        <v>16750.025000000001</v>
      </c>
      <c r="C13" s="3">
        <f>'2023'!$D$151</f>
        <v>30550</v>
      </c>
      <c r="D13" s="3">
        <f>'2023'!$E$151</f>
        <v>0</v>
      </c>
      <c r="E13" s="31">
        <f>SUM('2023'!$B13:$D13)</f>
        <v>47300.025000000001</v>
      </c>
      <c r="J13" s="33"/>
      <c r="K13" s="33"/>
      <c r="L13" s="33"/>
    </row>
    <row r="14" spans="1:16" hidden="1">
      <c r="A14" s="5"/>
      <c r="B14" s="38"/>
      <c r="C14" s="39"/>
      <c r="D14" s="39"/>
      <c r="E14" s="41"/>
    </row>
    <row r="15" spans="1:16" ht="22.5" hidden="1">
      <c r="A15" s="343" t="s">
        <v>47</v>
      </c>
      <c r="B15" s="344"/>
      <c r="C15" s="344"/>
      <c r="D15" s="344"/>
      <c r="E15" s="345"/>
    </row>
    <row r="16" spans="1:16" hidden="1">
      <c r="A16" s="50"/>
      <c r="B16" s="47"/>
      <c r="C16" s="48" t="s">
        <v>45</v>
      </c>
      <c r="D16" s="46"/>
      <c r="E16" s="51"/>
      <c r="F16" s="52"/>
    </row>
    <row r="17" spans="1:6" hidden="1">
      <c r="A17" s="53" t="s">
        <v>0</v>
      </c>
      <c r="B17" s="54" t="s">
        <v>63</v>
      </c>
      <c r="C17" s="55" t="s">
        <v>2</v>
      </c>
      <c r="D17" s="55" t="s">
        <v>1</v>
      </c>
      <c r="E17" s="55" t="s">
        <v>3</v>
      </c>
      <c r="F17" s="55" t="s">
        <v>55</v>
      </c>
    </row>
    <row r="18" spans="1:6" ht="28" hidden="1">
      <c r="A18" s="7" t="s">
        <v>4</v>
      </c>
      <c r="B18" s="56">
        <v>2020</v>
      </c>
      <c r="C18" s="8">
        <v>8577.6</v>
      </c>
      <c r="D18" s="8"/>
      <c r="E18" s="8"/>
      <c r="F18" s="8">
        <f>'2023'!$C18+'2023'!$D18+'2023'!$E18</f>
        <v>8577.6</v>
      </c>
    </row>
    <row r="19" spans="1:6" ht="56" hidden="1">
      <c r="A19" s="9" t="s">
        <v>5</v>
      </c>
      <c r="B19" s="56">
        <v>2020</v>
      </c>
      <c r="C19" s="3">
        <v>459.15150999999997</v>
      </c>
      <c r="D19" s="3"/>
      <c r="E19" s="3"/>
      <c r="F19" s="8">
        <f>'2023'!$C19+'2023'!$D19+'2023'!$E19</f>
        <v>459.15150999999997</v>
      </c>
    </row>
    <row r="20" spans="1:6" ht="28" hidden="1">
      <c r="A20" s="7" t="s">
        <v>6</v>
      </c>
      <c r="B20" s="56">
        <v>2020</v>
      </c>
      <c r="C20" s="8">
        <v>369.25299999999999</v>
      </c>
      <c r="D20" s="8">
        <v>7015.8124900000003</v>
      </c>
      <c r="E20" s="8"/>
      <c r="F20" s="8">
        <f>'2023'!$C20+'2023'!$D20+'2023'!$E20</f>
        <v>7385.06549</v>
      </c>
    </row>
    <row r="21" spans="1:6" ht="28" hidden="1">
      <c r="A21" s="9" t="s">
        <v>7</v>
      </c>
      <c r="B21" s="56">
        <v>2020</v>
      </c>
      <c r="C21" s="3">
        <v>692.255</v>
      </c>
      <c r="D21" s="3">
        <v>13152.85</v>
      </c>
      <c r="E21" s="3"/>
      <c r="F21" s="8">
        <f>'2023'!$C21+'2023'!$D21+'2023'!$E21</f>
        <v>13845.105</v>
      </c>
    </row>
    <row r="22" spans="1:6" ht="28" hidden="1">
      <c r="A22" s="7" t="s">
        <v>8</v>
      </c>
      <c r="B22" s="56">
        <v>2020</v>
      </c>
      <c r="C22" s="8">
        <v>599.40499999999997</v>
      </c>
      <c r="D22" s="8"/>
      <c r="E22" s="8"/>
      <c r="F22" s="8">
        <f>'2023'!$C22+'2023'!$D22+'2023'!$E22</f>
        <v>599.40499999999997</v>
      </c>
    </row>
    <row r="23" spans="1:6" hidden="1">
      <c r="A23" s="9" t="s">
        <v>17</v>
      </c>
      <c r="B23" s="56">
        <v>2020</v>
      </c>
      <c r="C23" s="3">
        <v>599.99</v>
      </c>
      <c r="D23" s="3"/>
      <c r="E23" s="3"/>
      <c r="F23" s="8">
        <f>'2023'!$C23+'2023'!$D23+'2023'!$E23</f>
        <v>599.99</v>
      </c>
    </row>
    <row r="24" spans="1:6" hidden="1">
      <c r="A24" s="7" t="s">
        <v>17</v>
      </c>
      <c r="B24" s="56">
        <v>2020</v>
      </c>
      <c r="C24" s="8">
        <v>471.78899999999999</v>
      </c>
      <c r="D24" s="8"/>
      <c r="E24" s="8"/>
      <c r="F24" s="8">
        <f>'2023'!$C24+'2023'!$D24+'2023'!$E24</f>
        <v>471.78899999999999</v>
      </c>
    </row>
    <row r="25" spans="1:6" ht="28" hidden="1">
      <c r="A25" s="9" t="s">
        <v>9</v>
      </c>
      <c r="B25" s="56">
        <v>2020</v>
      </c>
      <c r="C25" s="3">
        <v>2.423</v>
      </c>
      <c r="D25" s="3">
        <v>2420.9670000000001</v>
      </c>
      <c r="E25" s="3"/>
      <c r="F25" s="8">
        <f>'2023'!$C25+'2023'!$D25+'2023'!$E25</f>
        <v>2423.39</v>
      </c>
    </row>
    <row r="26" spans="1:6" ht="28" hidden="1">
      <c r="A26" s="7" t="s">
        <v>10</v>
      </c>
      <c r="B26" s="56">
        <v>2020</v>
      </c>
      <c r="C26" s="8">
        <v>31.129000000000001</v>
      </c>
      <c r="D26" s="8">
        <v>31098.330999999998</v>
      </c>
      <c r="E26" s="8"/>
      <c r="F26" s="8">
        <f>'2023'!$C26+'2023'!$D26+'2023'!$E26</f>
        <v>31129.46</v>
      </c>
    </row>
    <row r="27" spans="1:6" ht="28" hidden="1">
      <c r="A27" s="9" t="s">
        <v>11</v>
      </c>
      <c r="B27" s="56">
        <v>2020</v>
      </c>
      <c r="C27" s="3">
        <v>11.779</v>
      </c>
      <c r="D27" s="3">
        <v>11766.829</v>
      </c>
      <c r="E27" s="3"/>
      <c r="F27" s="8">
        <f>'2023'!$C27+'2023'!$D27+'2023'!$E27</f>
        <v>11778.608</v>
      </c>
    </row>
    <row r="28" spans="1:6" ht="42" hidden="1">
      <c r="A28" s="7" t="s">
        <v>12</v>
      </c>
      <c r="B28" s="56">
        <v>2020</v>
      </c>
      <c r="C28" s="8">
        <v>400</v>
      </c>
      <c r="D28" s="8">
        <v>9600</v>
      </c>
      <c r="E28" s="8"/>
      <c r="F28" s="8">
        <f>'2023'!$C28+'2023'!$D28+'2023'!$E28</f>
        <v>10000</v>
      </c>
    </row>
    <row r="29" spans="1:6" ht="28" hidden="1">
      <c r="A29" s="9" t="s">
        <v>13</v>
      </c>
      <c r="B29" s="56">
        <v>2020</v>
      </c>
      <c r="C29" s="3">
        <v>229.452</v>
      </c>
      <c r="D29" s="3">
        <v>4359.585</v>
      </c>
      <c r="E29" s="3"/>
      <c r="F29" s="8">
        <f>'2023'!$C29+'2023'!$D29+'2023'!$E29</f>
        <v>4589.0370000000003</v>
      </c>
    </row>
    <row r="30" spans="1:6" ht="42" hidden="1">
      <c r="A30" s="7" t="s">
        <v>14</v>
      </c>
      <c r="B30" s="56">
        <v>2020</v>
      </c>
      <c r="C30" s="8">
        <v>108.461</v>
      </c>
      <c r="D30" s="8">
        <v>2060.7730000000001</v>
      </c>
      <c r="E30" s="8"/>
      <c r="F30" s="8">
        <f>'2023'!$C30+'2023'!$D30+'2023'!$E30</f>
        <v>2169.2339999999999</v>
      </c>
    </row>
    <row r="31" spans="1:6" hidden="1">
      <c r="A31" s="9" t="s">
        <v>15</v>
      </c>
      <c r="B31" s="56">
        <v>2020</v>
      </c>
      <c r="C31" s="3">
        <v>144.626</v>
      </c>
      <c r="D31" s="3"/>
      <c r="E31" s="3"/>
      <c r="F31" s="8">
        <f>'2023'!$C31+'2023'!$D31+'2023'!$E31</f>
        <v>144.626</v>
      </c>
    </row>
    <row r="32" spans="1:6" hidden="1">
      <c r="A32" s="7" t="s">
        <v>16</v>
      </c>
      <c r="B32" s="56">
        <v>2020</v>
      </c>
      <c r="C32" s="8">
        <v>302</v>
      </c>
      <c r="D32" s="8"/>
      <c r="E32" s="8"/>
      <c r="F32" s="8">
        <f>'2023'!$C32+'2023'!$D32+'2023'!$E32</f>
        <v>302</v>
      </c>
    </row>
    <row r="33" spans="1:10" hidden="1">
      <c r="A33" s="7" t="s">
        <v>54</v>
      </c>
      <c r="B33" s="56">
        <v>2020</v>
      </c>
      <c r="C33" s="8">
        <v>14014.1</v>
      </c>
      <c r="D33" s="8"/>
      <c r="E33" s="8"/>
      <c r="F33" s="8">
        <f>'2023'!$C33+'2023'!$D33+'2023'!$E33</f>
        <v>14014.1</v>
      </c>
    </row>
    <row r="34" spans="1:10" hidden="1">
      <c r="A34" s="57" t="s">
        <v>53</v>
      </c>
      <c r="B34" s="56"/>
      <c r="C34" s="8">
        <f>SUBTOTAL(109,C18:C33)</f>
        <v>0</v>
      </c>
      <c r="D34" s="8">
        <f>SUBTOTAL(109,D18:D33)</f>
        <v>0</v>
      </c>
      <c r="E34" s="8">
        <f>SUBTOTAL(109,E18:E33)</f>
        <v>0</v>
      </c>
      <c r="F34" s="8">
        <f>SUBTOTAL(109,F18:F33)</f>
        <v>0</v>
      </c>
    </row>
    <row r="35" spans="1:10" ht="22.5" hidden="1">
      <c r="A35" s="346" t="s">
        <v>48</v>
      </c>
      <c r="B35" s="347"/>
      <c r="C35" s="347"/>
      <c r="D35" s="347"/>
      <c r="E35" s="3"/>
      <c r="F35" s="58"/>
    </row>
    <row r="36" spans="1:10" hidden="1">
      <c r="A36" s="59" t="s">
        <v>0</v>
      </c>
      <c r="B36" s="60" t="s">
        <v>63</v>
      </c>
      <c r="C36" s="61" t="s">
        <v>2</v>
      </c>
      <c r="D36" s="61" t="s">
        <v>1</v>
      </c>
      <c r="E36" s="61" t="s">
        <v>3</v>
      </c>
      <c r="F36" s="61" t="s">
        <v>55</v>
      </c>
      <c r="G36" s="82" t="s">
        <v>106</v>
      </c>
      <c r="H36" s="82" t="s">
        <v>109</v>
      </c>
    </row>
    <row r="37" spans="1:10" s="89" customFormat="1" hidden="1">
      <c r="A37" s="93" t="s">
        <v>54</v>
      </c>
      <c r="B37" s="94" t="s">
        <v>70</v>
      </c>
      <c r="C37" s="95">
        <v>14857.17916</v>
      </c>
      <c r="D37" s="95"/>
      <c r="E37" s="95"/>
      <c r="F37" s="95">
        <v>14857.17916</v>
      </c>
      <c r="G37" s="87"/>
      <c r="H37" s="87"/>
      <c r="I37" s="88"/>
    </row>
    <row r="38" spans="1:10" s="89" customFormat="1" hidden="1">
      <c r="A38" s="93" t="s">
        <v>107</v>
      </c>
      <c r="B38" s="94" t="s">
        <v>70</v>
      </c>
      <c r="C38" s="95">
        <f>C39+C40+C41+C42+C43+C44+C45</f>
        <v>11948.396805</v>
      </c>
      <c r="D38" s="95"/>
      <c r="E38" s="95"/>
      <c r="F38" s="95">
        <f>F39+F40+F41+F42+F43+F44+F45</f>
        <v>11948.396805</v>
      </c>
      <c r="G38" s="87"/>
      <c r="H38" s="87"/>
      <c r="I38" s="88"/>
      <c r="J38" s="89">
        <f>11948.4-11948.5</f>
        <v>-0.1000000000003638</v>
      </c>
    </row>
    <row r="39" spans="1:10" s="89" customFormat="1" hidden="1">
      <c r="A39" s="83" t="s">
        <v>87</v>
      </c>
      <c r="B39" s="85" t="s">
        <v>70</v>
      </c>
      <c r="C39" s="86">
        <v>302</v>
      </c>
      <c r="D39" s="86"/>
      <c r="E39" s="86"/>
      <c r="F39" s="86">
        <f>SUM('2023'!$C39:$E39)</f>
        <v>302</v>
      </c>
      <c r="G39" s="87"/>
      <c r="H39" s="87"/>
      <c r="I39" s="88"/>
    </row>
    <row r="40" spans="1:10" s="89" customFormat="1" hidden="1">
      <c r="A40" s="84" t="s">
        <v>17</v>
      </c>
      <c r="B40" s="85" t="s">
        <v>70</v>
      </c>
      <c r="C40" s="86">
        <f>1626.3-0.1</f>
        <v>1626.2</v>
      </c>
      <c r="D40" s="86"/>
      <c r="E40" s="86"/>
      <c r="F40" s="86">
        <f>'2023'!$C40</f>
        <v>1626.2</v>
      </c>
      <c r="G40" s="87"/>
      <c r="H40" s="87"/>
      <c r="I40" s="88"/>
    </row>
    <row r="41" spans="1:10" s="89" customFormat="1" hidden="1">
      <c r="A41" s="83" t="s">
        <v>65</v>
      </c>
      <c r="B41" s="85" t="s">
        <v>70</v>
      </c>
      <c r="C41" s="86">
        <v>439.96019999999999</v>
      </c>
      <c r="D41" s="86"/>
      <c r="E41" s="86"/>
      <c r="F41" s="86">
        <f>SUM('2023'!$C41:$E41)</f>
        <v>439.96019999999999</v>
      </c>
      <c r="G41" s="87"/>
      <c r="H41" s="87"/>
      <c r="I41" s="88"/>
    </row>
    <row r="42" spans="1:10" s="89" customFormat="1" hidden="1">
      <c r="A42" s="83" t="s">
        <v>66</v>
      </c>
      <c r="B42" s="85" t="s">
        <v>70</v>
      </c>
      <c r="C42" s="86">
        <v>945.51774</v>
      </c>
      <c r="D42" s="86"/>
      <c r="E42" s="86"/>
      <c r="F42" s="86">
        <f>SUM('2023'!$C42:$E42)</f>
        <v>945.51774</v>
      </c>
      <c r="G42" s="87"/>
      <c r="H42" s="87"/>
      <c r="I42" s="88"/>
    </row>
    <row r="43" spans="1:10" s="89" customFormat="1" ht="28.5" hidden="1">
      <c r="A43" s="83" t="s">
        <v>67</v>
      </c>
      <c r="B43" s="85" t="s">
        <v>70</v>
      </c>
      <c r="C43" s="86">
        <v>8028.848465</v>
      </c>
      <c r="D43" s="86"/>
      <c r="E43" s="86"/>
      <c r="F43" s="86">
        <f>SUM('2023'!$C43:$E43)</f>
        <v>8028.848465</v>
      </c>
      <c r="G43" s="87"/>
      <c r="H43" s="87"/>
      <c r="I43" s="88"/>
    </row>
    <row r="44" spans="1:10" s="89" customFormat="1" hidden="1">
      <c r="A44" s="83" t="s">
        <v>18</v>
      </c>
      <c r="B44" s="85" t="s">
        <v>70</v>
      </c>
      <c r="C44" s="86">
        <v>40</v>
      </c>
      <c r="D44" s="86"/>
      <c r="E44" s="86"/>
      <c r="F44" s="86">
        <f>SUM('2023'!$C44:$E44)</f>
        <v>40</v>
      </c>
      <c r="G44" s="87"/>
      <c r="H44" s="87"/>
      <c r="I44" s="88"/>
    </row>
    <row r="45" spans="1:10" s="89" customFormat="1" hidden="1">
      <c r="A45" s="83" t="s">
        <v>60</v>
      </c>
      <c r="B45" s="85" t="s">
        <v>70</v>
      </c>
      <c r="C45" s="86">
        <v>565.87040000000002</v>
      </c>
      <c r="D45" s="86"/>
      <c r="E45" s="86"/>
      <c r="F45" s="86">
        <f>SUM('2023'!$C45:$E45)</f>
        <v>565.87040000000002</v>
      </c>
      <c r="G45" s="87"/>
      <c r="H45" s="87"/>
      <c r="I45" s="88"/>
    </row>
    <row r="46" spans="1:10" s="89" customFormat="1" ht="28" hidden="1">
      <c r="A46" s="93" t="s">
        <v>108</v>
      </c>
      <c r="B46" s="94" t="s">
        <v>70</v>
      </c>
      <c r="C46" s="95">
        <f>C47+C48</f>
        <v>1007.048092</v>
      </c>
      <c r="D46" s="95">
        <f>D47+D48</f>
        <v>24225.654208</v>
      </c>
      <c r="E46" s="95"/>
      <c r="F46" s="95">
        <f>SUM('2023'!$C46:$E46)</f>
        <v>25232.702300000001</v>
      </c>
      <c r="G46" s="87"/>
      <c r="H46" s="87"/>
      <c r="I46" s="88"/>
    </row>
    <row r="47" spans="1:10" s="89" customFormat="1" ht="28.5" hidden="1">
      <c r="A47" s="83" t="s">
        <v>88</v>
      </c>
      <c r="B47" s="85" t="s">
        <v>70</v>
      </c>
      <c r="C47" s="86">
        <v>629.65709920000006</v>
      </c>
      <c r="D47" s="86">
        <f>15111.7703808+56.5</f>
        <v>15168.270380800001</v>
      </c>
      <c r="E47" s="86"/>
      <c r="F47" s="98">
        <f>SUM('2023'!$C47:$E47)</f>
        <v>15797.92748</v>
      </c>
      <c r="G47" s="87"/>
      <c r="H47" s="87">
        <f>F46-25232.7</f>
        <v>2.3000000001047738E-3</v>
      </c>
      <c r="I47" s="88"/>
    </row>
    <row r="48" spans="1:10" s="89" customFormat="1" ht="28.5" hidden="1">
      <c r="A48" s="83" t="s">
        <v>89</v>
      </c>
      <c r="B48" s="85" t="s">
        <v>70</v>
      </c>
      <c r="C48" s="86">
        <v>377.39099279999999</v>
      </c>
      <c r="D48" s="86">
        <v>9057.3838271999994</v>
      </c>
      <c r="E48" s="86"/>
      <c r="F48" s="86">
        <f>SUM('2023'!$C48:$E48)</f>
        <v>9434.7748199999987</v>
      </c>
      <c r="G48" s="87"/>
      <c r="H48" s="87"/>
      <c r="I48" s="88"/>
    </row>
    <row r="49" spans="1:16" s="89" customFormat="1" ht="28" hidden="1">
      <c r="A49" s="93" t="s">
        <v>91</v>
      </c>
      <c r="B49" s="94" t="s">
        <v>70</v>
      </c>
      <c r="C49" s="95">
        <f>C50+C51+C52+C53+C54+C55</f>
        <v>14.987885500000001</v>
      </c>
      <c r="D49" s="95">
        <f>D50+D51+D52+D53+D54+D55</f>
        <v>14972.912689060002</v>
      </c>
      <c r="E49" s="95"/>
      <c r="F49" s="95">
        <f>F50+F51+F52+F53+F54+F55</f>
        <v>14987.900574559999</v>
      </c>
      <c r="G49" s="87"/>
      <c r="H49" s="87"/>
      <c r="I49" s="88"/>
    </row>
    <row r="50" spans="1:16" s="89" customFormat="1" hidden="1">
      <c r="A50" s="83" t="s">
        <v>59</v>
      </c>
      <c r="B50" s="85" t="s">
        <v>70</v>
      </c>
      <c r="C50" s="86">
        <v>1.31747616</v>
      </c>
      <c r="D50" s="86">
        <v>1316.1586838400001</v>
      </c>
      <c r="E50" s="86"/>
      <c r="F50" s="86">
        <f>SUM('2023'!$C50:$E50)</f>
        <v>1317.4761600000002</v>
      </c>
      <c r="G50" s="87"/>
      <c r="H50" s="87"/>
      <c r="I50" s="88"/>
      <c r="K50" s="88">
        <f>F49-114987.9</f>
        <v>-99999.999425439994</v>
      </c>
    </row>
    <row r="51" spans="1:16" s="89" customFormat="1" hidden="1">
      <c r="A51" s="83" t="s">
        <v>58</v>
      </c>
      <c r="B51" s="85" t="s">
        <v>70</v>
      </c>
      <c r="C51" s="86">
        <v>2.24775064</v>
      </c>
      <c r="D51" s="86">
        <f>2245.50288936-0.38</f>
        <v>2245.12288936</v>
      </c>
      <c r="E51" s="86"/>
      <c r="F51" s="86">
        <f>SUM('2023'!$C51:$E51)</f>
        <v>2247.3706400000001</v>
      </c>
      <c r="G51" s="87"/>
      <c r="H51" s="87"/>
      <c r="I51" s="88"/>
    </row>
    <row r="52" spans="1:16" s="89" customFormat="1" hidden="1">
      <c r="A52" s="83" t="s">
        <v>57</v>
      </c>
      <c r="B52" s="85" t="s">
        <v>70</v>
      </c>
      <c r="C52" s="86">
        <v>10.233409400000001</v>
      </c>
      <c r="D52" s="86">
        <v>10223.175990600001</v>
      </c>
      <c r="E52" s="86"/>
      <c r="F52" s="86">
        <f>SUM('2023'!$C52:$E52)</f>
        <v>10233.4094</v>
      </c>
      <c r="G52" s="87"/>
      <c r="H52" s="87"/>
      <c r="I52" s="88"/>
    </row>
    <row r="53" spans="1:16" s="89" customFormat="1" hidden="1">
      <c r="A53" s="83" t="s">
        <v>69</v>
      </c>
      <c r="B53" s="85" t="s">
        <v>70</v>
      </c>
      <c r="C53" s="86">
        <v>0.31608881</v>
      </c>
      <c r="D53" s="86">
        <v>315.77272119000003</v>
      </c>
      <c r="E53" s="86"/>
      <c r="F53" s="86">
        <f>SUM('2023'!$C53:$D53)</f>
        <v>316.08881000000002</v>
      </c>
      <c r="G53" s="87"/>
      <c r="H53" s="87"/>
      <c r="I53" s="88"/>
    </row>
    <row r="54" spans="1:16" s="89" customFormat="1" ht="25.5" hidden="1" customHeight="1">
      <c r="A54" s="83" t="s">
        <v>90</v>
      </c>
      <c r="B54" s="85" t="s">
        <v>70</v>
      </c>
      <c r="C54" s="86">
        <v>0.47808592999999999</v>
      </c>
      <c r="D54" s="86">
        <v>477.60784407</v>
      </c>
      <c r="E54" s="86"/>
      <c r="F54" s="86">
        <f>SUM('2023'!$C54:$E54)</f>
        <v>478.08593000000002</v>
      </c>
      <c r="G54" s="87"/>
      <c r="H54" s="87"/>
      <c r="I54" s="88">
        <f>D55+C55</f>
        <v>395.46963456000003</v>
      </c>
      <c r="K54" s="88">
        <f>F49-14987.9</f>
        <v>5.7455999922240153E-4</v>
      </c>
    </row>
    <row r="55" spans="1:16" s="89" customFormat="1" ht="28.5" hidden="1">
      <c r="A55" s="83" t="s">
        <v>91</v>
      </c>
      <c r="B55" s="85" t="s">
        <v>70</v>
      </c>
      <c r="C55" s="86">
        <f>'2023'!$D55*0.1%</f>
        <v>0.39507456000000002</v>
      </c>
      <c r="D55" s="86">
        <v>395.07456000000002</v>
      </c>
      <c r="E55" s="86"/>
      <c r="F55" s="86">
        <f>SUM('2023'!$C55:$E55)</f>
        <v>395.46963456000003</v>
      </c>
      <c r="G55" s="87">
        <f>'2023'!$C55+'2023'!$D55</f>
        <v>395.46963456000003</v>
      </c>
      <c r="H55" s="87"/>
      <c r="I55" s="88"/>
    </row>
    <row r="56" spans="1:16" s="97" customFormat="1" hidden="1">
      <c r="A56" s="90" t="s">
        <v>61</v>
      </c>
      <c r="B56" s="91" t="s">
        <v>70</v>
      </c>
      <c r="C56" s="92">
        <f>C57+C58</f>
        <v>1429.5972655999974</v>
      </c>
      <c r="D56" s="92">
        <f>D57+D58</f>
        <v>34160.8017244</v>
      </c>
      <c r="E56" s="92"/>
      <c r="F56" s="95">
        <f>SUM('2023'!$C56:$E56)</f>
        <v>35590.398989999994</v>
      </c>
      <c r="G56" s="87"/>
      <c r="H56" s="87"/>
      <c r="I56" s="96"/>
      <c r="J56" s="96"/>
    </row>
    <row r="57" spans="1:16" s="97" customFormat="1" hidden="1">
      <c r="A57" s="24" t="s">
        <v>56</v>
      </c>
      <c r="B57" s="85" t="s">
        <v>70</v>
      </c>
      <c r="C57" s="86">
        <v>352.40998560000003</v>
      </c>
      <c r="D57" s="86">
        <f>8457.8396544+6.13-0.0001</f>
        <v>8463.9695544000006</v>
      </c>
      <c r="E57" s="86"/>
      <c r="F57" s="13">
        <f>SUM('2023'!$C57:$E57)</f>
        <v>8816.3795399999999</v>
      </c>
      <c r="G57" s="87"/>
      <c r="H57" s="87"/>
      <c r="I57" s="96"/>
    </row>
    <row r="58" spans="1:16" s="97" customFormat="1" ht="42.5" hidden="1">
      <c r="A58" s="24" t="s">
        <v>68</v>
      </c>
      <c r="B58" s="85" t="s">
        <v>70</v>
      </c>
      <c r="C58" s="86">
        <v>1077.1872799999974</v>
      </c>
      <c r="D58" s="86">
        <v>25696.832170000001</v>
      </c>
      <c r="E58" s="86"/>
      <c r="F58" s="13">
        <f>SUM('2023'!$C58:$E58)</f>
        <v>26774.01945</v>
      </c>
      <c r="G58" s="87"/>
      <c r="H58" s="87"/>
      <c r="I58" s="96">
        <f>F57+'2023'!$F58</f>
        <v>35590.398990000002</v>
      </c>
    </row>
    <row r="59" spans="1:16" hidden="1">
      <c r="A59" s="63" t="s">
        <v>53</v>
      </c>
      <c r="B59" s="62"/>
      <c r="C59" s="12">
        <f>C57+C58+C49+C46+C38+C37</f>
        <v>29257.209208099997</v>
      </c>
      <c r="D59" s="12">
        <f>D57+D58+D49+D46+D38+D37</f>
        <v>73359.368621460002</v>
      </c>
      <c r="E59" s="12">
        <f>SUBTOTAL(109,E37:E58)</f>
        <v>0</v>
      </c>
      <c r="F59" s="12" t="s">
        <v>110</v>
      </c>
      <c r="G59" s="81"/>
      <c r="H59" s="81"/>
      <c r="I59" s="11">
        <f>102</f>
        <v>102</v>
      </c>
    </row>
    <row r="60" spans="1:16" ht="20" hidden="1">
      <c r="A60" s="348" t="s">
        <v>49</v>
      </c>
      <c r="B60" s="348"/>
      <c r="C60" s="348"/>
      <c r="D60" s="348"/>
      <c r="E60" s="14"/>
      <c r="F60" s="58"/>
    </row>
    <row r="61" spans="1:16" hidden="1">
      <c r="A61" s="64" t="s">
        <v>0</v>
      </c>
      <c r="B61" s="65" t="s">
        <v>63</v>
      </c>
      <c r="C61" s="66" t="s">
        <v>2</v>
      </c>
      <c r="D61" s="66" t="s">
        <v>1</v>
      </c>
      <c r="E61" s="66" t="s">
        <v>3</v>
      </c>
      <c r="F61" s="66" t="s">
        <v>55</v>
      </c>
      <c r="G61" s="102" t="s">
        <v>106</v>
      </c>
      <c r="K61" s="11">
        <f>F58+F57</f>
        <v>35590.398990000002</v>
      </c>
      <c r="L61" s="11">
        <f>35590.4-K61</f>
        <v>1.0099999999511056E-3</v>
      </c>
    </row>
    <row r="62" spans="1:16" ht="15" hidden="1">
      <c r="A62" s="134" t="s">
        <v>54</v>
      </c>
      <c r="B62" s="135" t="s">
        <v>71</v>
      </c>
      <c r="C62" s="136">
        <v>19305.400000000001</v>
      </c>
      <c r="D62" s="136"/>
      <c r="E62" s="136"/>
      <c r="F62" s="136">
        <f>'2023'!$C62+'2023'!$D62+'2023'!$E62</f>
        <v>19305.400000000001</v>
      </c>
      <c r="G62" s="87" t="e">
        <f>F56+F57+F58+F59+F60+F61+'2023'!$D62</f>
        <v>#VALUE!</v>
      </c>
      <c r="I62" s="11">
        <f>F56+F49+F46+F37+F38</f>
        <v>102616.57782955999</v>
      </c>
      <c r="K62" s="11"/>
      <c r="L62" s="11"/>
    </row>
    <row r="63" spans="1:16" ht="15" hidden="1">
      <c r="A63" s="134" t="s">
        <v>107</v>
      </c>
      <c r="B63" s="135" t="s">
        <v>71</v>
      </c>
      <c r="C63" s="136">
        <f>C64+C66+C67+C68+C69+C71+C73</f>
        <v>8958.2474848000002</v>
      </c>
      <c r="D63" s="136"/>
      <c r="E63" s="136"/>
      <c r="F63" s="136">
        <f>'2023'!$C63+'2023'!$D63+'2023'!$E63</f>
        <v>8958.2474848000002</v>
      </c>
      <c r="G63" s="87" t="e">
        <f>F57+F58+F59+F60+F61+F62+'2023'!$D63</f>
        <v>#VALUE!</v>
      </c>
      <c r="K63" s="11"/>
      <c r="L63" s="11"/>
    </row>
    <row r="64" spans="1:16" hidden="1">
      <c r="A64" s="84" t="s">
        <v>75</v>
      </c>
      <c r="B64" s="67" t="s">
        <v>71</v>
      </c>
      <c r="C64" s="13">
        <f>600-42.16+0.2</f>
        <v>558.04000000000008</v>
      </c>
      <c r="D64" s="13"/>
      <c r="E64" s="13"/>
      <c r="F64" s="13">
        <f>'2023'!$C64+'2023'!$D64+'2023'!$E64</f>
        <v>558.04000000000008</v>
      </c>
      <c r="G64" s="87" t="e">
        <f>F57+F58+F59+F60+F61+F62+'2023'!$D64</f>
        <v>#VALUE!</v>
      </c>
      <c r="P64" s="11">
        <f>C63-8958.25</f>
        <v>-2.5151999998342944E-3</v>
      </c>
    </row>
    <row r="65" spans="1:17" hidden="1">
      <c r="A65" s="84" t="s">
        <v>76</v>
      </c>
      <c r="B65" s="67" t="s">
        <v>71</v>
      </c>
      <c r="C65" s="13"/>
      <c r="D65" s="13"/>
      <c r="E65" s="13"/>
      <c r="F65" s="13">
        <f>'2023'!$C65+'2023'!$D65+'2023'!$E65</f>
        <v>0</v>
      </c>
      <c r="G65" s="87" t="e">
        <f>F58+F59+F60+F61+F62+F64+'2023'!$D65</f>
        <v>#VALUE!</v>
      </c>
    </row>
    <row r="66" spans="1:17" hidden="1">
      <c r="A66" s="84" t="s">
        <v>77</v>
      </c>
      <c r="B66" s="67" t="s">
        <v>71</v>
      </c>
      <c r="C66" s="13">
        <v>2000</v>
      </c>
      <c r="D66" s="13"/>
      <c r="E66" s="13"/>
      <c r="F66" s="13">
        <f>'2023'!$C66+'2023'!$D66+'2023'!$E66</f>
        <v>2000</v>
      </c>
      <c r="G66" s="87" t="e">
        <f>F59+F60+F61+F62+F64+F65+'2023'!$D66</f>
        <v>#VALUE!</v>
      </c>
      <c r="H66" s="11">
        <v>102616.57782956</v>
      </c>
    </row>
    <row r="67" spans="1:17" hidden="1">
      <c r="A67" s="84" t="s">
        <v>126</v>
      </c>
      <c r="B67" s="85" t="s">
        <v>71</v>
      </c>
      <c r="C67" s="86"/>
      <c r="D67" s="86"/>
      <c r="E67" s="86"/>
      <c r="F67" s="13">
        <f>'2023'!$C67+'2023'!$D67+'2023'!$E67</f>
        <v>0</v>
      </c>
      <c r="G67" s="87" t="e">
        <f>F61+F62+F64+F65+F66+#REF!+'2023'!$D67</f>
        <v>#VALUE!</v>
      </c>
    </row>
    <row r="68" spans="1:17" hidden="1">
      <c r="A68" s="25" t="s">
        <v>79</v>
      </c>
      <c r="B68" s="67" t="s">
        <v>71</v>
      </c>
      <c r="C68" s="13">
        <f>2213.87-81+615.63-24</f>
        <v>2724.5</v>
      </c>
      <c r="D68" s="13"/>
      <c r="E68" s="13"/>
      <c r="F68" s="13">
        <f>'2023'!$C68+'2023'!$D68+'2023'!$E68</f>
        <v>2724.5</v>
      </c>
      <c r="G68" s="87" t="e">
        <f>F62+F64+F65+F66+#REF!+F67+'2023'!$D68</f>
        <v>#REF!</v>
      </c>
    </row>
    <row r="69" spans="1:17" ht="43.5" hidden="1" customHeight="1">
      <c r="A69" s="84" t="s">
        <v>134</v>
      </c>
      <c r="B69" s="133" t="s">
        <v>71</v>
      </c>
      <c r="C69" s="86">
        <v>2000</v>
      </c>
      <c r="D69" s="86"/>
      <c r="E69" s="86"/>
      <c r="F69" s="86">
        <f>'2023'!$C69+'2023'!$D69+'2023'!$E69</f>
        <v>2000</v>
      </c>
      <c r="G69" s="87" t="e">
        <f>F62+F64+F65+F66+#REF!+F67+'2023'!$D69</f>
        <v>#REF!</v>
      </c>
      <c r="H69" s="11" t="e">
        <f>'2023'!$C69+C62+C64+C65+C66+#REF!+C67+C70+C73</f>
        <v>#REF!</v>
      </c>
    </row>
    <row r="70" spans="1:17" hidden="1">
      <c r="A70" s="25"/>
      <c r="B70" s="67"/>
      <c r="C70" s="13"/>
      <c r="D70" s="13"/>
      <c r="E70" s="13"/>
      <c r="F70" s="13">
        <f>'2023'!$C70+'2023'!$D70+'2023'!$E70</f>
        <v>0</v>
      </c>
      <c r="G70" s="87" t="e">
        <f>F64+F65+F66+#REF!+F67+F69+'2023'!$D70</f>
        <v>#REF!</v>
      </c>
    </row>
    <row r="71" spans="1:17" ht="15.5" hidden="1">
      <c r="A71" s="141" t="s">
        <v>131</v>
      </c>
      <c r="B71" s="117" t="s">
        <v>71</v>
      </c>
      <c r="C71" s="13"/>
      <c r="D71" s="13"/>
      <c r="E71" s="13"/>
      <c r="F71" s="13">
        <f>'2023'!$C71+'2023'!$D71+'2023'!$E71</f>
        <v>0</v>
      </c>
      <c r="G71" s="87" t="e">
        <f>F66+#REF!+F67+F68+F69+F70+'2023'!$D71</f>
        <v>#REF!</v>
      </c>
    </row>
    <row r="72" spans="1:17" ht="15.75" hidden="1" customHeight="1">
      <c r="A72" s="137"/>
      <c r="B72" s="138"/>
      <c r="C72" s="139"/>
      <c r="D72" s="13"/>
      <c r="E72" s="13"/>
      <c r="F72" s="13"/>
      <c r="G72" s="87"/>
    </row>
    <row r="73" spans="1:17" ht="15" hidden="1">
      <c r="A73" s="124" t="s">
        <v>132</v>
      </c>
      <c r="B73" s="140"/>
      <c r="C73" s="66">
        <f>C75+C76+C77+C78+C79+C80+C81+C82</f>
        <v>1675.7074848</v>
      </c>
      <c r="D73" s="66">
        <f>D75+D76+D77+D78+D79+D80+D81+D82</f>
        <v>29093.461875200002</v>
      </c>
      <c r="E73" s="66"/>
      <c r="F73" s="66">
        <f>F75+F76+F77+F78+F79+F80+F81+F82</f>
        <v>30769.16936</v>
      </c>
      <c r="G73" s="87" t="e">
        <f>F65+F66+#REF!+F67+F69+F70+'2023'!$D73</f>
        <v>#REF!</v>
      </c>
      <c r="H73" s="11">
        <f>SUM(F62:F73)</f>
        <v>66315.356844800001</v>
      </c>
      <c r="I73" s="11">
        <f>H73-F69</f>
        <v>64315.356844800001</v>
      </c>
    </row>
    <row r="74" spans="1:17" ht="15.5" hidden="1">
      <c r="A74" s="25"/>
      <c r="B74" s="118"/>
      <c r="C74" s="13"/>
      <c r="D74" s="13"/>
      <c r="E74" s="13"/>
      <c r="F74" s="13">
        <f>'2023'!$C74+'2023'!$D74+'2023'!$E74</f>
        <v>0</v>
      </c>
      <c r="G74" s="87" t="e">
        <f>F66+#REF!+F67+F69+F70+F73+'2023'!$D74</f>
        <v>#REF!</v>
      </c>
    </row>
    <row r="75" spans="1:17" ht="42" hidden="1">
      <c r="A75" s="25" t="s">
        <v>135</v>
      </c>
      <c r="B75" s="117" t="s">
        <v>71</v>
      </c>
      <c r="C75" s="13">
        <f>'2023'!$F75-'2023'!$D75</f>
        <v>638.77123519999986</v>
      </c>
      <c r="D75" s="13">
        <f>15330.3687648+0.01</f>
        <v>15330.3787648</v>
      </c>
      <c r="E75" s="13"/>
      <c r="F75" s="13">
        <v>15969.15</v>
      </c>
      <c r="G75" s="87">
        <f>F67+F69+F70+F72+F73+F74+'2023'!$D75</f>
        <v>48099.5481248</v>
      </c>
      <c r="P75" s="142">
        <f>'2023'!$D75+'2023'!$C75</f>
        <v>15969.15</v>
      </c>
      <c r="Q75" s="142"/>
    </row>
    <row r="76" spans="1:17" ht="15.5" hidden="1">
      <c r="A76" s="25" t="s">
        <v>127</v>
      </c>
      <c r="B76" s="118" t="s">
        <v>71</v>
      </c>
      <c r="C76" s="13">
        <f>'2023'!$F76-'2023'!$D76</f>
        <v>55.599991600000067</v>
      </c>
      <c r="D76" s="13">
        <v>1334.3997984</v>
      </c>
      <c r="E76" s="13"/>
      <c r="F76" s="13">
        <v>1389.9997900000001</v>
      </c>
      <c r="G76" s="87">
        <f>F67+F69+F70+F72+F73+F74+'2023'!$D76</f>
        <v>34103.569158400001</v>
      </c>
      <c r="J76">
        <f>16500</f>
        <v>16500</v>
      </c>
      <c r="K76">
        <f>15969134.13-15330368.76</f>
        <v>638765.37000000104</v>
      </c>
      <c r="M76">
        <f>16500*4%</f>
        <v>660</v>
      </c>
      <c r="P76" s="142"/>
      <c r="Q76" s="142"/>
    </row>
    <row r="77" spans="1:17" ht="15.5" hidden="1">
      <c r="A77" s="25" t="s">
        <v>128</v>
      </c>
      <c r="B77" s="118" t="s">
        <v>71</v>
      </c>
      <c r="C77" s="13">
        <f>'2023'!$F77-'2023'!$D77</f>
        <v>72.319999999999936</v>
      </c>
      <c r="D77" s="13">
        <v>1735.71</v>
      </c>
      <c r="E77" s="13"/>
      <c r="F77" s="13">
        <v>1808.03</v>
      </c>
      <c r="G77" s="87">
        <f>F69+F70+F72+F73+F74+F76+'2023'!$D77</f>
        <v>35894.879150000001</v>
      </c>
      <c r="P77" s="142"/>
      <c r="Q77" s="142"/>
    </row>
    <row r="78" spans="1:17" ht="15.5" hidden="1">
      <c r="A78" s="25" t="s">
        <v>129</v>
      </c>
      <c r="B78" s="118" t="s">
        <v>71</v>
      </c>
      <c r="C78" s="13">
        <f>'2023'!$F78-'2023'!$D78</f>
        <v>59.99999600000001</v>
      </c>
      <c r="D78" s="13">
        <v>1439.9999039999998</v>
      </c>
      <c r="E78" s="13"/>
      <c r="F78" s="13">
        <v>1499.9998999999998</v>
      </c>
      <c r="G78" s="87">
        <f>F67+F69+F70+F72+F73+F74+'2023'!$D78</f>
        <v>34209.169263999996</v>
      </c>
      <c r="H78" s="11">
        <f>2573.04-D77</f>
        <v>837.32999999999993</v>
      </c>
      <c r="M78">
        <f>16500-660</f>
        <v>15840</v>
      </c>
      <c r="P78" s="142"/>
      <c r="Q78" s="142"/>
    </row>
    <row r="79" spans="1:17" ht="15.5" hidden="1">
      <c r="A79" s="25" t="s">
        <v>130</v>
      </c>
      <c r="B79" s="117" t="s">
        <v>71</v>
      </c>
      <c r="C79" s="13">
        <f>'2023'!$F79-'2023'!$D79</f>
        <v>55.99999200000002</v>
      </c>
      <c r="D79" s="13">
        <v>1343.999808</v>
      </c>
      <c r="E79" s="13"/>
      <c r="F79" s="13">
        <v>1399.9998000000001</v>
      </c>
      <c r="G79" s="87">
        <f>F73+F74+F75+F76+F77+F78+'2023'!$D79</f>
        <v>52780.348858000005</v>
      </c>
      <c r="I79" s="11">
        <f>15969.13-15330.3</f>
        <v>638.82999999999993</v>
      </c>
      <c r="K79">
        <f>12313.87-12232.87</f>
        <v>81</v>
      </c>
      <c r="P79" s="142"/>
      <c r="Q79" s="142"/>
    </row>
    <row r="80" spans="1:17" hidden="1">
      <c r="A80" s="84" t="s">
        <v>78</v>
      </c>
      <c r="B80" s="67" t="s">
        <v>71</v>
      </c>
      <c r="C80" s="13">
        <f>'2023'!$F80-'2023'!$D80</f>
        <v>500.75987000000009</v>
      </c>
      <c r="D80" s="13">
        <v>889.24</v>
      </c>
      <c r="E80" s="13"/>
      <c r="F80" s="13">
        <v>1389.9998700000001</v>
      </c>
      <c r="G80" s="87">
        <f>F69+F70+F72+F73+F74+F78+'2023'!$D80</f>
        <v>35158.40926</v>
      </c>
      <c r="P80" s="142"/>
      <c r="Q80" s="142"/>
    </row>
    <row r="81" spans="1:18" ht="28" hidden="1">
      <c r="A81" s="25" t="s">
        <v>133</v>
      </c>
      <c r="B81" s="118" t="s">
        <v>71</v>
      </c>
      <c r="C81" s="13">
        <f>'2023'!$F81-'2023'!$D81</f>
        <v>240.20640000000003</v>
      </c>
      <c r="D81" s="13">
        <f>'2023'!$F81*96%+0.22</f>
        <v>5770.4536000000007</v>
      </c>
      <c r="E81" s="13"/>
      <c r="F81" s="13">
        <f>5903.89+106.77-27.9+26.78+1.07+0.05</f>
        <v>6010.6600000000008</v>
      </c>
      <c r="G81" s="87">
        <f>F75+F76+F77+F78+F79+F80+'2023'!$D81</f>
        <v>29227.632959999999</v>
      </c>
      <c r="P81" s="142"/>
      <c r="Q81" s="142"/>
    </row>
    <row r="82" spans="1:18" ht="28" hidden="1">
      <c r="A82" s="25" t="s">
        <v>141</v>
      </c>
      <c r="B82" s="118" t="s">
        <v>71</v>
      </c>
      <c r="C82" s="13">
        <f>'2023'!$F82-'2023'!$D82</f>
        <v>52.049999999999955</v>
      </c>
      <c r="D82" s="13">
        <v>1249.28</v>
      </c>
      <c r="E82" s="13"/>
      <c r="F82" s="13">
        <v>1301.33</v>
      </c>
      <c r="G82" s="87">
        <f>F76+F77+F78+F79+F80+F81+'2023'!$D82</f>
        <v>14747.969360000001</v>
      </c>
      <c r="P82" s="142"/>
      <c r="Q82" s="142"/>
    </row>
    <row r="83" spans="1:18" hidden="1">
      <c r="A83" s="68" t="s">
        <v>61</v>
      </c>
      <c r="B83" s="69"/>
      <c r="C83" s="10"/>
      <c r="D83" s="10"/>
      <c r="E83" s="10"/>
      <c r="F83" s="10"/>
      <c r="G83" s="87" t="e">
        <f>#REF!+F67+F69+F70+F73+F74+'2023'!$D83</f>
        <v>#REF!</v>
      </c>
    </row>
    <row r="84" spans="1:18" s="123" customFormat="1" ht="42" hidden="1">
      <c r="A84" s="124" t="s">
        <v>136</v>
      </c>
      <c r="B84" s="125" t="s">
        <v>71</v>
      </c>
      <c r="C84" s="98">
        <v>1484.4026395000001</v>
      </c>
      <c r="D84" s="126">
        <v>28203.650150499998</v>
      </c>
      <c r="E84" s="98"/>
      <c r="F84" s="98">
        <f>SUM('2023'!$C84:$E84)</f>
        <v>29688.052789999998</v>
      </c>
      <c r="G84" s="102">
        <f>F67+F69+F70+F73+F74+F83+'2023'!$D84</f>
        <v>60972.819510499998</v>
      </c>
      <c r="H84" s="122"/>
      <c r="I84" s="122" t="e">
        <f>F62+F64+F65+F66+#REF!+F67+C69+F70+F72+F73</f>
        <v>#REF!</v>
      </c>
      <c r="K84" s="122"/>
      <c r="M84" s="123">
        <f>2000-80</f>
        <v>1920</v>
      </c>
      <c r="Q84" s="122"/>
    </row>
    <row r="85" spans="1:18" ht="46.5" hidden="1">
      <c r="A85" s="32" t="s">
        <v>81</v>
      </c>
      <c r="B85" s="67" t="s">
        <v>71</v>
      </c>
      <c r="C85" s="13">
        <v>535.013867</v>
      </c>
      <c r="D85" s="43">
        <v>10165.263472999999</v>
      </c>
      <c r="E85" s="13"/>
      <c r="F85" s="13">
        <f>SUM('2023'!$C85:$E85)</f>
        <v>10700.277339999999</v>
      </c>
      <c r="G85" s="87">
        <f>F69+F70+F73+F74+F83+F84+'2023'!$D85</f>
        <v>72622.485623</v>
      </c>
      <c r="K85" s="11">
        <f>C62+C63</f>
        <v>28263.6474848</v>
      </c>
      <c r="N85">
        <f>2000*4%</f>
        <v>80</v>
      </c>
    </row>
    <row r="86" spans="1:18" ht="46.5" hidden="1">
      <c r="A86" s="114" t="s">
        <v>137</v>
      </c>
      <c r="B86" s="67" t="s">
        <v>71</v>
      </c>
      <c r="C86" s="13">
        <v>592.79112699999996</v>
      </c>
      <c r="D86" s="43">
        <v>11263.031412999999</v>
      </c>
      <c r="E86" s="13"/>
      <c r="F86" s="13">
        <f>SUM('2023'!$C86:$E86)</f>
        <v>11855.822539999999</v>
      </c>
      <c r="G86" s="87">
        <f>F70+F73+F74+F83+F84+F85+'2023'!$D86</f>
        <v>82420.530903000006</v>
      </c>
      <c r="K86" s="11">
        <f>29939.56-C63-C62</f>
        <v>1675.9125151999979</v>
      </c>
      <c r="R86" s="11">
        <f>29093245.46-D73</f>
        <v>29064151.998124801</v>
      </c>
    </row>
    <row r="87" spans="1:18" ht="46.5" hidden="1">
      <c r="A87" s="32" t="s">
        <v>138</v>
      </c>
      <c r="B87" s="67" t="s">
        <v>71</v>
      </c>
      <c r="C87" s="13">
        <v>532.09612400000003</v>
      </c>
      <c r="D87" s="43">
        <v>10109.826356000001</v>
      </c>
      <c r="E87" s="13"/>
      <c r="F87" s="13">
        <f>SUM('2023'!$C87:$E87)</f>
        <v>10641.922480000001</v>
      </c>
      <c r="G87" s="87">
        <f>F73+F74+F83+F84+F85+F86+'2023'!$D87</f>
        <v>93123.148386000001</v>
      </c>
    </row>
    <row r="88" spans="1:18" ht="46.5" hidden="1">
      <c r="A88" s="115" t="s">
        <v>139</v>
      </c>
      <c r="B88" s="67" t="s">
        <v>71</v>
      </c>
      <c r="C88" s="13">
        <v>603.89191799999992</v>
      </c>
      <c r="D88" s="44">
        <v>11473.946442</v>
      </c>
      <c r="E88" s="13"/>
      <c r="F88" s="13">
        <f>SUM('2023'!$C88:$E88)</f>
        <v>12077.83836</v>
      </c>
      <c r="G88" s="87">
        <f>F74+F83+F84+F85+F86+F87+'2023'!$D88</f>
        <v>74360.021592000005</v>
      </c>
      <c r="H88" s="11">
        <v>16149.2665</v>
      </c>
    </row>
    <row r="89" spans="1:18" s="123" customFormat="1" ht="23.25" hidden="1" customHeight="1">
      <c r="A89" s="120" t="s">
        <v>56</v>
      </c>
      <c r="B89" s="65" t="s">
        <v>71</v>
      </c>
      <c r="C89" s="66">
        <v>1027.5577595</v>
      </c>
      <c r="D89" s="121">
        <v>19523.597430499998</v>
      </c>
      <c r="E89" s="66"/>
      <c r="F89" s="66">
        <f>SUM('2023'!$C89:$E89)</f>
        <v>20551.155189999998</v>
      </c>
      <c r="G89" s="102">
        <f>F83+F84+F85+F86+F87+F88+'2023'!$D89</f>
        <v>94487.510940499997</v>
      </c>
      <c r="H89" s="122">
        <v>13302.202000000001</v>
      </c>
      <c r="I89" s="122"/>
      <c r="L89" s="123">
        <v>16149.2665</v>
      </c>
    </row>
    <row r="90" spans="1:18" ht="31" hidden="1">
      <c r="A90" s="115" t="s">
        <v>122</v>
      </c>
      <c r="B90" s="67" t="s">
        <v>71</v>
      </c>
      <c r="C90" s="13">
        <v>501.31343650000008</v>
      </c>
      <c r="D90" s="43">
        <v>9524.9552935000011</v>
      </c>
      <c r="E90" s="13"/>
      <c r="F90" s="13">
        <f>'2023'!$C90+'2023'!$D90+'2023'!$E90</f>
        <v>10026.268730000002</v>
      </c>
      <c r="G90" s="87">
        <f>F84+F85+F86+F87+F88+F89+'2023'!$D90</f>
        <v>105040.0239935</v>
      </c>
      <c r="H90" s="11">
        <v>16150</v>
      </c>
      <c r="L90">
        <v>13302.202000000001</v>
      </c>
    </row>
    <row r="91" spans="1:18" ht="31" hidden="1">
      <c r="A91" s="49" t="s">
        <v>123</v>
      </c>
      <c r="B91" s="67" t="s">
        <v>71</v>
      </c>
      <c r="C91" s="13">
        <v>632.95355250000011</v>
      </c>
      <c r="D91" s="43">
        <v>12026.117497500001</v>
      </c>
      <c r="E91" s="13"/>
      <c r="F91" s="13">
        <f>'2023'!$C91+'2023'!$D91+'2023'!$E91</f>
        <v>12659.071050000002</v>
      </c>
      <c r="G91" s="87">
        <f>F85+F86+F87+F88+F89+F90+'2023'!$D91</f>
        <v>87879.402137500001</v>
      </c>
      <c r="H91" s="11">
        <v>8892</v>
      </c>
      <c r="L91">
        <v>16150</v>
      </c>
    </row>
    <row r="92" spans="1:18" ht="28" hidden="1">
      <c r="A92" s="119" t="s">
        <v>121</v>
      </c>
      <c r="B92" s="118" t="s">
        <v>71</v>
      </c>
      <c r="C92" s="13">
        <v>519.75814800000001</v>
      </c>
      <c r="D92" s="13">
        <v>9875.4048120000007</v>
      </c>
      <c r="E92" s="13"/>
      <c r="F92" s="13">
        <f>'2023'!$C92+'2023'!$D92+'2023'!$E92</f>
        <v>10395.162960000001</v>
      </c>
      <c r="G92" s="87">
        <f>F86+F87+F88+F89+F90+F91+'2023'!$D92</f>
        <v>87687.483162000019</v>
      </c>
    </row>
    <row r="93" spans="1:18" ht="28" hidden="1">
      <c r="A93" s="119" t="s">
        <v>120</v>
      </c>
      <c r="B93" s="118" t="s">
        <v>71</v>
      </c>
      <c r="C93" s="13">
        <v>196.27533550000001</v>
      </c>
      <c r="D93" s="13">
        <v>3729.2313745000001</v>
      </c>
      <c r="E93" s="13"/>
      <c r="F93" s="13">
        <f>'2023'!$C93+'2023'!$D93+'2023'!$E93</f>
        <v>3925.5067100000001</v>
      </c>
      <c r="G93" s="87">
        <f>F86+F87+F88+F89+F90+F91+'2023'!$D93</f>
        <v>81541.30972450001</v>
      </c>
    </row>
    <row r="94" spans="1:18" hidden="1">
      <c r="A94" s="71" t="s">
        <v>53</v>
      </c>
      <c r="B94" s="47"/>
      <c r="C94" s="13">
        <f>C93+C92+C91+C90+C89+C88+C87+C86+C85+C73+C63+C62+C84</f>
        <v>36565.408877099995</v>
      </c>
      <c r="D94" s="13">
        <f>D84+D85+D86+D87+D88+D89+D90+D91+D92+D93+D69+D73</f>
        <v>154988.4861177</v>
      </c>
      <c r="E94" s="13">
        <f>SUBTOTAL(109,E62:E93)</f>
        <v>0</v>
      </c>
      <c r="F94" s="3">
        <f>F93+F92+F91+F90+F89+F88+F87+F86+F85+F84+F73+F63+F62</f>
        <v>191553.89499479998</v>
      </c>
      <c r="G94" s="101"/>
      <c r="H94" s="11">
        <v>16150</v>
      </c>
      <c r="L94">
        <v>8892</v>
      </c>
    </row>
    <row r="95" spans="1:18" ht="20.5">
      <c r="A95" s="357" t="s">
        <v>50</v>
      </c>
      <c r="B95" s="358"/>
      <c r="C95" s="358"/>
      <c r="D95" s="358"/>
      <c r="E95" s="72"/>
      <c r="F95" s="58"/>
      <c r="H95" s="11">
        <v>16581.3</v>
      </c>
      <c r="L95">
        <v>16150</v>
      </c>
    </row>
    <row r="96" spans="1:18">
      <c r="A96" s="73" t="s">
        <v>0</v>
      </c>
      <c r="B96" s="65" t="s">
        <v>63</v>
      </c>
      <c r="C96" s="66" t="s">
        <v>2</v>
      </c>
      <c r="D96" s="66" t="s">
        <v>1</v>
      </c>
      <c r="E96" s="66" t="s">
        <v>3</v>
      </c>
      <c r="F96" s="66" t="s">
        <v>55</v>
      </c>
      <c r="G96" s="102" t="s">
        <v>106</v>
      </c>
      <c r="H96" s="102" t="s">
        <v>119</v>
      </c>
      <c r="I96" s="102" t="s">
        <v>113</v>
      </c>
      <c r="J96" s="102" t="s">
        <v>118</v>
      </c>
      <c r="L96">
        <v>16581.3</v>
      </c>
    </row>
    <row r="97" spans="1:14">
      <c r="A97" s="74" t="s">
        <v>87</v>
      </c>
      <c r="B97" s="67" t="s">
        <v>72</v>
      </c>
      <c r="C97" s="13">
        <v>600</v>
      </c>
      <c r="D97" s="66"/>
      <c r="E97" s="66"/>
      <c r="F97" s="13">
        <f>'2023'!$C97+'2023'!$D97+'2023'!$E97</f>
        <v>600</v>
      </c>
      <c r="G97" s="87">
        <f>'2023'!$F97*5%</f>
        <v>30</v>
      </c>
      <c r="H97" s="87">
        <f>'2023'!$C97+'2023'!$D97</f>
        <v>600</v>
      </c>
      <c r="I97" s="87"/>
      <c r="J97" s="87">
        <f t="shared" ref="J97:J109" si="0">F98*5%</f>
        <v>20</v>
      </c>
      <c r="K97">
        <f>F103*5%</f>
        <v>987.32050000000004</v>
      </c>
      <c r="L97">
        <v>5684.0019999999995</v>
      </c>
    </row>
    <row r="98" spans="1:14">
      <c r="A98" s="74" t="s">
        <v>76</v>
      </c>
      <c r="B98" s="67" t="s">
        <v>72</v>
      </c>
      <c r="C98" s="13">
        <v>400</v>
      </c>
      <c r="D98" s="66"/>
      <c r="E98" s="66"/>
      <c r="F98" s="13">
        <f>'2023'!$C98+'2023'!$D98+'2023'!$E98</f>
        <v>400</v>
      </c>
      <c r="G98" s="87"/>
      <c r="H98" s="87">
        <f>'2023'!$C98+'2023'!$D98</f>
        <v>400</v>
      </c>
      <c r="I98" s="87"/>
      <c r="J98" s="87">
        <f t="shared" si="0"/>
        <v>216.20867350000003</v>
      </c>
    </row>
    <row r="99" spans="1:14" ht="28">
      <c r="A99" s="74" t="s">
        <v>62</v>
      </c>
      <c r="B99" s="67" t="s">
        <v>72</v>
      </c>
      <c r="C99" s="13">
        <f>5046.72+619.66-343+0.779+0.01+0.74-1001.66-0.92553+1.85-0.79+0.79</f>
        <v>4324.1734700000006</v>
      </c>
      <c r="D99" s="13"/>
      <c r="E99" s="13"/>
      <c r="F99" s="13">
        <f>'2023'!$C99+'2023'!$D99+'2023'!$E99</f>
        <v>4324.1734700000006</v>
      </c>
      <c r="G99" s="87"/>
      <c r="H99" s="87">
        <f>'2023'!$C99+'2023'!$D99</f>
        <v>4324.1734700000006</v>
      </c>
      <c r="I99" s="87"/>
      <c r="J99" s="87">
        <f t="shared" si="0"/>
        <v>398.83000000000004</v>
      </c>
    </row>
    <row r="100" spans="1:14" ht="28">
      <c r="A100" s="74" t="s">
        <v>142</v>
      </c>
      <c r="B100" s="67" t="s">
        <v>72</v>
      </c>
      <c r="C100" s="13">
        <v>7976.6</v>
      </c>
      <c r="D100" s="13"/>
      <c r="E100" s="13"/>
      <c r="F100" s="13">
        <f>'2023'!$C100+'2023'!$D100+'2023'!$E100</f>
        <v>7976.6</v>
      </c>
      <c r="G100" s="87"/>
      <c r="H100" s="87">
        <f>'2023'!$C100+'2023'!$D100</f>
        <v>7976.6</v>
      </c>
      <c r="I100" s="87"/>
      <c r="J100" s="87">
        <f t="shared" si="0"/>
        <v>103.20750000000001</v>
      </c>
    </row>
    <row r="101" spans="1:14">
      <c r="A101" s="74" t="s">
        <v>79</v>
      </c>
      <c r="B101" s="67" t="s">
        <v>72</v>
      </c>
      <c r="C101" s="13">
        <f>2064.15</f>
        <v>2064.15</v>
      </c>
      <c r="D101" s="13"/>
      <c r="E101" s="13"/>
      <c r="F101" s="13">
        <f>'2023'!$C101+'2023'!$D101+'2023'!$E101</f>
        <v>2064.15</v>
      </c>
      <c r="G101" s="87"/>
      <c r="H101" s="87">
        <f>'2023'!$C101+'2023'!$D101</f>
        <v>2064.15</v>
      </c>
      <c r="I101" s="87"/>
      <c r="J101" s="87">
        <f t="shared" si="0"/>
        <v>0</v>
      </c>
      <c r="L101">
        <f>89-17</f>
        <v>72</v>
      </c>
    </row>
    <row r="102" spans="1:14">
      <c r="A102" s="68" t="s">
        <v>61</v>
      </c>
      <c r="B102" s="69"/>
      <c r="C102" s="10"/>
      <c r="D102" s="10"/>
      <c r="E102" s="10"/>
      <c r="F102" s="10"/>
      <c r="G102" s="87"/>
      <c r="H102" s="87">
        <f>'2023'!$C102+'2023'!$D102</f>
        <v>0</v>
      </c>
      <c r="I102" s="87"/>
      <c r="J102" s="87">
        <f t="shared" si="0"/>
        <v>987.32050000000004</v>
      </c>
    </row>
    <row r="103" spans="1:14">
      <c r="A103" s="112" t="s">
        <v>20</v>
      </c>
      <c r="B103" s="67" t="s">
        <v>72</v>
      </c>
      <c r="C103" s="13">
        <f>'2023'!$F103-'2023'!$D103</f>
        <v>987.32050000000163</v>
      </c>
      <c r="D103" s="13">
        <f>'2023'!$F103*95%</f>
        <v>18759.089499999998</v>
      </c>
      <c r="E103" s="13"/>
      <c r="F103" s="13">
        <v>19746.41</v>
      </c>
      <c r="G103" s="87">
        <f>'2023'!$C103+'2023'!$D103</f>
        <v>19746.41</v>
      </c>
      <c r="H103" s="87">
        <f>'2023'!$C103+'2023'!$D103</f>
        <v>19746.41</v>
      </c>
      <c r="I103" s="87"/>
      <c r="J103" s="87">
        <f t="shared" si="0"/>
        <v>621.35649999999998</v>
      </c>
      <c r="K103">
        <f>'2023'!$C103/'2023'!$F103</f>
        <v>5.0000000000000086E-2</v>
      </c>
    </row>
    <row r="104" spans="1:14">
      <c r="A104" s="113" t="s">
        <v>21</v>
      </c>
      <c r="B104" s="67" t="s">
        <v>72</v>
      </c>
      <c r="C104" s="13">
        <f>'2023'!$F104-'2023'!$D104</f>
        <v>621.35649999999987</v>
      </c>
      <c r="D104" s="13">
        <f>'2023'!$F104*95%</f>
        <v>11805.773499999999</v>
      </c>
      <c r="E104" s="13"/>
      <c r="F104" s="13">
        <v>12427.13</v>
      </c>
      <c r="G104" s="87">
        <f>'2023'!$C104+'2023'!$D104</f>
        <v>12427.13</v>
      </c>
      <c r="H104" s="87">
        <f>'2023'!$C104+'2023'!$D104</f>
        <v>12427.13</v>
      </c>
      <c r="I104" s="87"/>
      <c r="J104" s="87">
        <f t="shared" si="0"/>
        <v>1004.5135</v>
      </c>
    </row>
    <row r="105" spans="1:14">
      <c r="A105" s="112" t="s">
        <v>93</v>
      </c>
      <c r="B105" s="67" t="s">
        <v>72</v>
      </c>
      <c r="C105" s="13">
        <f>'2023'!$F105-'2023'!$D105</f>
        <v>1004.5135000000009</v>
      </c>
      <c r="D105" s="13">
        <f>'2023'!$F105*95%</f>
        <v>19085.7565</v>
      </c>
      <c r="E105" s="13"/>
      <c r="F105" s="13">
        <v>20090.27</v>
      </c>
      <c r="G105" s="87">
        <f>'2023'!$C105+'2023'!$D105</f>
        <v>20090.27</v>
      </c>
      <c r="H105" s="87">
        <f>'2023'!$C105+'2023'!$D105</f>
        <v>20090.27</v>
      </c>
      <c r="I105" s="87"/>
      <c r="J105" s="87">
        <f t="shared" si="0"/>
        <v>0</v>
      </c>
    </row>
    <row r="106" spans="1:14" hidden="1">
      <c r="A106" s="127"/>
      <c r="B106" s="128" t="s">
        <v>72</v>
      </c>
      <c r="C106" s="13">
        <f>'2023'!$F106-'2023'!$D106</f>
        <v>0</v>
      </c>
      <c r="D106" s="13">
        <f>'2023'!$F106*95%</f>
        <v>0</v>
      </c>
      <c r="E106" s="13"/>
      <c r="F106" s="13"/>
      <c r="G106" s="87">
        <f>'2023'!$C106+'2023'!$D106</f>
        <v>0</v>
      </c>
      <c r="H106" s="87">
        <f>'2023'!$C106+'2023'!$D106</f>
        <v>0</v>
      </c>
      <c r="I106" s="87"/>
      <c r="J106" s="87">
        <f t="shared" si="0"/>
        <v>1004.5135</v>
      </c>
      <c r="K106" s="11">
        <f>F103+F104+F105+'2023'!$F106+F107+F108+F109</f>
        <v>97797.89</v>
      </c>
      <c r="L106" s="11">
        <f>K106-97797.89</f>
        <v>0</v>
      </c>
      <c r="N106">
        <f>113163.52-113162.82</f>
        <v>0.69999999999708962</v>
      </c>
    </row>
    <row r="107" spans="1:14">
      <c r="A107" s="74" t="s">
        <v>94</v>
      </c>
      <c r="B107" s="67" t="s">
        <v>72</v>
      </c>
      <c r="C107" s="13">
        <f>'2023'!$F107-'2023'!$D107</f>
        <v>1004.5135000000009</v>
      </c>
      <c r="D107" s="13">
        <f>'2023'!$F107*95%</f>
        <v>19085.7565</v>
      </c>
      <c r="E107" s="13"/>
      <c r="F107" s="13">
        <v>20090.27</v>
      </c>
      <c r="G107" s="87">
        <f>'2023'!$C107+'2023'!$D107</f>
        <v>20090.27</v>
      </c>
      <c r="H107" s="87">
        <f>'2023'!$C107+'2023'!$D107</f>
        <v>20090.27</v>
      </c>
      <c r="I107" s="87"/>
      <c r="J107" s="87">
        <f t="shared" si="0"/>
        <v>1053.6400000000001</v>
      </c>
      <c r="L107" s="11">
        <f>F103+F104+F105+'2023'!$F107+F108+F109</f>
        <v>97797.89</v>
      </c>
      <c r="M107">
        <f>L107*2.14</f>
        <v>209287.48460000003</v>
      </c>
    </row>
    <row r="108" spans="1:14">
      <c r="A108" s="74" t="s">
        <v>95</v>
      </c>
      <c r="B108" s="67" t="s">
        <v>72</v>
      </c>
      <c r="C108" s="13">
        <f>'2023'!$F108-'2023'!$D108</f>
        <v>1053.6399999999994</v>
      </c>
      <c r="D108" s="13">
        <f>'2023'!$F108*95%</f>
        <v>20019.16</v>
      </c>
      <c r="E108" s="13"/>
      <c r="F108" s="13">
        <v>21072.799999999999</v>
      </c>
      <c r="G108" s="87">
        <f>'2023'!$C108+'2023'!$D108</f>
        <v>21072.799999999999</v>
      </c>
      <c r="H108" s="87">
        <f>'2023'!$C108+'2023'!$D108</f>
        <v>21072.799999999999</v>
      </c>
      <c r="I108" s="87"/>
      <c r="J108" s="87">
        <f t="shared" si="0"/>
        <v>218.55050000000003</v>
      </c>
    </row>
    <row r="109" spans="1:14">
      <c r="A109" s="74" t="s">
        <v>112</v>
      </c>
      <c r="B109" s="67" t="s">
        <v>72</v>
      </c>
      <c r="C109" s="13">
        <f>'2023'!$F109-'2023'!$D109</f>
        <v>218.55050000000028</v>
      </c>
      <c r="D109" s="13">
        <f>'2023'!$F109*95%</f>
        <v>4152.4594999999999</v>
      </c>
      <c r="E109" s="13"/>
      <c r="F109" s="13">
        <v>4371.01</v>
      </c>
      <c r="G109" s="87">
        <f>'2023'!$C109+'2023'!$D109</f>
        <v>4371.01</v>
      </c>
      <c r="H109" s="87">
        <f>'2023'!$C109+'2023'!$D109</f>
        <v>4371.01</v>
      </c>
      <c r="I109" s="87"/>
      <c r="J109" s="87">
        <f t="shared" si="0"/>
        <v>5658.1406735</v>
      </c>
      <c r="K109" s="11">
        <f>'2023'!$D$132-'2023'!$D$110</f>
        <v>-92907.995500000005</v>
      </c>
    </row>
    <row r="110" spans="1:14">
      <c r="A110" s="75" t="s">
        <v>53</v>
      </c>
      <c r="B110" s="67"/>
      <c r="C110" s="13">
        <f>C97+C98+C99+C100+C101+C103+C104+C105+C106+C107+C108+C109</f>
        <v>20254.817970000004</v>
      </c>
      <c r="D110" s="13">
        <f>SUBTOTAL(109,D97:D109)</f>
        <v>92907.995500000005</v>
      </c>
      <c r="E110" s="13"/>
      <c r="F110" s="13">
        <f>F97+F98+F99+F100+F101+F103+F104+F105+F106+F107+F108+F109</f>
        <v>113162.81346999999</v>
      </c>
      <c r="G110" s="101"/>
      <c r="H110" s="101"/>
      <c r="I110" s="101"/>
      <c r="J110" s="101"/>
    </row>
    <row r="111" spans="1:14" ht="20" hidden="1">
      <c r="A111" s="359" t="s">
        <v>51</v>
      </c>
      <c r="B111" s="359"/>
      <c r="C111" s="359"/>
      <c r="D111" s="359"/>
      <c r="E111" s="72"/>
      <c r="F111" s="58"/>
      <c r="I111" s="11">
        <f ca="1">I111:L117</f>
        <v>0</v>
      </c>
      <c r="L111">
        <f>F103*5%</f>
        <v>987.32050000000004</v>
      </c>
    </row>
    <row r="112" spans="1:14" hidden="1">
      <c r="A112" s="73" t="s">
        <v>0</v>
      </c>
      <c r="B112" s="54" t="s">
        <v>63</v>
      </c>
      <c r="C112" s="66" t="s">
        <v>2</v>
      </c>
      <c r="D112" s="66" t="s">
        <v>1</v>
      </c>
      <c r="E112" s="66" t="s">
        <v>3</v>
      </c>
      <c r="F112" s="66" t="s">
        <v>55</v>
      </c>
      <c r="G112" s="102" t="s">
        <v>106</v>
      </c>
      <c r="I112" s="11">
        <v>15364000</v>
      </c>
      <c r="J112" s="11">
        <f>I112-15364925.26</f>
        <v>-925.25999999977648</v>
      </c>
      <c r="L112">
        <f t="shared" ref="L112:L119" si="1">F104*5%</f>
        <v>621.35649999999998</v>
      </c>
    </row>
    <row r="113" spans="1:14" hidden="1">
      <c r="A113" s="79" t="s">
        <v>105</v>
      </c>
      <c r="B113" s="54"/>
      <c r="C113" s="66"/>
      <c r="D113" s="66"/>
      <c r="E113" s="66"/>
      <c r="F113" s="66">
        <f>'2023'!$E113+'2023'!$D113+'2023'!$C113</f>
        <v>0</v>
      </c>
      <c r="G113" s="87">
        <f t="shared" ref="G113:G122" si="2">D109+C108+C107+C106+C105+C104+C103+C102</f>
        <v>8823.8035000000018</v>
      </c>
      <c r="L113">
        <f t="shared" si="1"/>
        <v>1004.5135</v>
      </c>
    </row>
    <row r="114" spans="1:14" hidden="1">
      <c r="A114" s="74" t="s">
        <v>87</v>
      </c>
      <c r="B114" s="67" t="s">
        <v>73</v>
      </c>
      <c r="C114" s="13">
        <v>600</v>
      </c>
      <c r="D114" s="66"/>
      <c r="E114" s="66"/>
      <c r="F114" s="13">
        <f>'2023'!$E114+'2023'!$D114+'2023'!$C114</f>
        <v>600</v>
      </c>
      <c r="G114" s="87">
        <f t="shared" si="2"/>
        <v>97797.89</v>
      </c>
      <c r="I114" s="11">
        <f>(C97+C98+C99+C100+C101)*1000</f>
        <v>15364923.469999999</v>
      </c>
      <c r="J114" s="116">
        <f>J112/1000</f>
        <v>-0.92525999999977648</v>
      </c>
      <c r="L114">
        <f t="shared" si="1"/>
        <v>0</v>
      </c>
    </row>
    <row r="115" spans="1:14" hidden="1">
      <c r="A115" s="74" t="s">
        <v>76</v>
      </c>
      <c r="B115" s="67" t="s">
        <v>73</v>
      </c>
      <c r="C115" s="13">
        <v>400</v>
      </c>
      <c r="D115" s="66"/>
      <c r="E115" s="66"/>
      <c r="F115" s="13">
        <f>'2023'!$E115+'2023'!$D115+'2023'!$C115</f>
        <v>400</v>
      </c>
      <c r="G115" s="87">
        <f t="shared" si="2"/>
        <v>24157.391970000004</v>
      </c>
      <c r="I115" s="11">
        <f>15364925.26-I114</f>
        <v>1.7900000009685755</v>
      </c>
      <c r="L115">
        <f t="shared" si="1"/>
        <v>1004.5135</v>
      </c>
      <c r="N115">
        <v>23998.15</v>
      </c>
    </row>
    <row r="116" spans="1:14" ht="28" hidden="1">
      <c r="A116" s="74" t="s">
        <v>62</v>
      </c>
      <c r="B116" s="67" t="s">
        <v>73</v>
      </c>
      <c r="C116" s="13">
        <f>4046.72+58.53+0.15</f>
        <v>4105.3999999999996</v>
      </c>
      <c r="D116" s="66"/>
      <c r="E116" s="66"/>
      <c r="F116" s="13">
        <f>'2023'!$E116+'2023'!$D116+'2023'!$C116</f>
        <v>4105.3999999999996</v>
      </c>
      <c r="G116" s="87" t="e">
        <f t="shared" si="2"/>
        <v>#VALUE!</v>
      </c>
      <c r="I116" s="11">
        <f>I115/1000</f>
        <v>1.7900000009685754E-3</v>
      </c>
      <c r="J116" s="11">
        <f>C97+C98+C99+C100+C101</f>
        <v>15364.92347</v>
      </c>
      <c r="K116" s="11">
        <f>'2023'!$F$110-113163.52</f>
        <v>-0.7065300000103889</v>
      </c>
      <c r="L116">
        <f t="shared" si="1"/>
        <v>1053.6400000000001</v>
      </c>
      <c r="N116">
        <f>N115*5%</f>
        <v>1199.9075</v>
      </c>
    </row>
    <row r="117" spans="1:14" hidden="1">
      <c r="A117" s="74" t="s">
        <v>19</v>
      </c>
      <c r="B117" s="67" t="s">
        <v>73</v>
      </c>
      <c r="C117" s="13">
        <v>7976.6</v>
      </c>
      <c r="D117" s="66"/>
      <c r="E117" s="66"/>
      <c r="F117" s="13">
        <f>'2023'!$E117+'2023'!$D117+'2023'!$C117</f>
        <v>7976.6</v>
      </c>
      <c r="G117" s="87" t="e">
        <f t="shared" si="2"/>
        <v>#VALUE!</v>
      </c>
      <c r="L117">
        <f t="shared" si="1"/>
        <v>218.55050000000003</v>
      </c>
    </row>
    <row r="118" spans="1:14" hidden="1">
      <c r="A118" s="74" t="s">
        <v>79</v>
      </c>
      <c r="B118" s="67" t="s">
        <v>73</v>
      </c>
      <c r="C118" s="13">
        <v>2064.15</v>
      </c>
      <c r="D118" s="66"/>
      <c r="E118" s="66"/>
      <c r="F118" s="13">
        <f>'2023'!$E118+'2023'!$D118+'2023'!$C118</f>
        <v>2064.15</v>
      </c>
      <c r="G118" s="87" t="e">
        <f t="shared" si="2"/>
        <v>#VALUE!</v>
      </c>
      <c r="K118" s="11"/>
      <c r="L118">
        <f t="shared" si="1"/>
        <v>5658.1406735</v>
      </c>
      <c r="N118">
        <f>N115-N116</f>
        <v>22798.2425</v>
      </c>
    </row>
    <row r="119" spans="1:14" hidden="1">
      <c r="A119" s="74" t="s">
        <v>61</v>
      </c>
      <c r="B119" s="67"/>
      <c r="C119" s="13"/>
      <c r="D119" s="13"/>
      <c r="E119" s="13"/>
      <c r="F119" s="13">
        <f>'2023'!$E119+'2023'!$D119+'2023'!$C119</f>
        <v>0</v>
      </c>
      <c r="G119" s="87" t="e">
        <f t="shared" si="2"/>
        <v>#VALUE!</v>
      </c>
      <c r="H119" s="11">
        <f>F120*5%</f>
        <v>1199.8744999999999</v>
      </c>
      <c r="K119" s="11">
        <f>C97+C98+C99+C100+C101</f>
        <v>15364.92347</v>
      </c>
      <c r="L119">
        <f t="shared" si="1"/>
        <v>0</v>
      </c>
    </row>
    <row r="120" spans="1:14" s="105" customFormat="1" hidden="1">
      <c r="A120" s="113" t="s">
        <v>22</v>
      </c>
      <c r="B120" s="85" t="s">
        <v>73</v>
      </c>
      <c r="C120" s="86">
        <f>1199.9075+0.09-0.65+0.13-0.52+0.23+0.03</f>
        <v>1199.2175</v>
      </c>
      <c r="D120" s="86">
        <f>22798.2425+0.03</f>
        <v>22798.272499999999</v>
      </c>
      <c r="E120" s="86"/>
      <c r="F120" s="86">
        <f>'2023'!$C120+'2023'!$D120</f>
        <v>23997.489999999998</v>
      </c>
      <c r="G120" s="87" t="e">
        <f t="shared" si="2"/>
        <v>#VALUE!</v>
      </c>
      <c r="H120" s="106">
        <f>'2023'!$F120*5%</f>
        <v>1199.8744999999999</v>
      </c>
      <c r="I120" s="106">
        <f>'2023'!$F120-'2023'!$C120</f>
        <v>22798.272499999999</v>
      </c>
      <c r="J120" s="106"/>
      <c r="K120" s="106">
        <f>K119*1000</f>
        <v>15364923.469999999</v>
      </c>
    </row>
    <row r="121" spans="1:14" s="105" customFormat="1" hidden="1">
      <c r="A121" s="104" t="s">
        <v>114</v>
      </c>
      <c r="B121" s="85" t="s">
        <v>73</v>
      </c>
      <c r="C121" s="86">
        <v>200</v>
      </c>
      <c r="D121" s="86">
        <v>3800</v>
      </c>
      <c r="E121" s="86"/>
      <c r="F121" s="86">
        <f>'2023'!$C121+'2023'!$D121</f>
        <v>4000</v>
      </c>
      <c r="G121" s="87" t="e">
        <f t="shared" si="2"/>
        <v>#VALUE!</v>
      </c>
      <c r="H121" s="106">
        <f>'2023'!$F121*5%</f>
        <v>200</v>
      </c>
      <c r="I121" s="106">
        <f>'2023'!$F121-'2023'!$C121</f>
        <v>3800</v>
      </c>
      <c r="J121" s="106"/>
      <c r="K121" s="106">
        <f>K120-15364925.26</f>
        <v>-1.7900000009685755</v>
      </c>
      <c r="L121" s="106">
        <f>F103+F104+F105+F106+F107+F108+F109</f>
        <v>97797.89</v>
      </c>
    </row>
    <row r="122" spans="1:14" s="105" customFormat="1" hidden="1">
      <c r="A122" s="104" t="s">
        <v>115</v>
      </c>
      <c r="B122" s="85" t="s">
        <v>73</v>
      </c>
      <c r="C122" s="86">
        <v>840</v>
      </c>
      <c r="D122" s="86">
        <v>15960</v>
      </c>
      <c r="E122" s="86"/>
      <c r="F122" s="86">
        <f>'2023'!$C122+'2023'!$D122</f>
        <v>16800</v>
      </c>
      <c r="G122" s="87" t="e">
        <f t="shared" si="2"/>
        <v>#VALUE!</v>
      </c>
      <c r="H122" s="106">
        <f>'2023'!$F122*5%</f>
        <v>840</v>
      </c>
      <c r="I122" s="106">
        <f>'2023'!$F122-'2023'!$C122</f>
        <v>15960</v>
      </c>
      <c r="J122" s="106"/>
      <c r="K122" s="106"/>
    </row>
    <row r="123" spans="1:14" s="109" customFormat="1" hidden="1">
      <c r="A123" s="104" t="s">
        <v>116</v>
      </c>
      <c r="B123" s="85" t="s">
        <v>73</v>
      </c>
      <c r="C123" s="86">
        <v>165</v>
      </c>
      <c r="D123" s="86">
        <v>3135</v>
      </c>
      <c r="E123" s="108"/>
      <c r="F123" s="86">
        <f>'2023'!$C123+'2023'!$D123</f>
        <v>3300</v>
      </c>
      <c r="G123" s="87">
        <f>D121+C120+C119+C118+C117+C116+C115+C114</f>
        <v>20145.3675</v>
      </c>
      <c r="H123" s="106">
        <f>'2023'!$F123*5%</f>
        <v>165</v>
      </c>
      <c r="I123" s="106">
        <f>'2023'!$F123-'2023'!$C123</f>
        <v>3135</v>
      </c>
      <c r="J123" s="106"/>
      <c r="K123" s="106"/>
      <c r="L123" s="109">
        <f>L121*1000</f>
        <v>97797890</v>
      </c>
    </row>
    <row r="124" spans="1:14" s="105" customFormat="1" hidden="1">
      <c r="A124" s="113" t="s">
        <v>23</v>
      </c>
      <c r="B124" s="85" t="s">
        <v>73</v>
      </c>
      <c r="C124" s="86">
        <v>603.375</v>
      </c>
      <c r="D124" s="86">
        <f>11400+67.5</f>
        <v>11467.5</v>
      </c>
      <c r="E124" s="86"/>
      <c r="F124" s="86">
        <f>'2023'!$C124+'2023'!$D124</f>
        <v>12070.875</v>
      </c>
      <c r="G124" s="87">
        <f>D122+C121+C120+C119+C118+C117+C116+C115</f>
        <v>31905.3675</v>
      </c>
      <c r="H124" s="106">
        <f>'2023'!$F124*5%</f>
        <v>603.54375000000005</v>
      </c>
      <c r="I124" s="106">
        <f>'2023'!$F124-'2023'!$C124</f>
        <v>11467.5</v>
      </c>
      <c r="J124" s="106"/>
      <c r="K124" s="106"/>
    </row>
    <row r="125" spans="1:14" s="105" customFormat="1" hidden="1">
      <c r="A125" s="104" t="s">
        <v>117</v>
      </c>
      <c r="B125" s="85" t="s">
        <v>73</v>
      </c>
      <c r="C125" s="86">
        <v>449.77</v>
      </c>
      <c r="D125" s="86">
        <v>8548</v>
      </c>
      <c r="E125" s="86"/>
      <c r="F125" s="86">
        <f>'2023'!$C125+'2023'!$D125</f>
        <v>8997.77</v>
      </c>
      <c r="G125" s="87" t="e">
        <f>#REF!+C122+C121+C120+C119+C118+C117+C116</f>
        <v>#REF!</v>
      </c>
      <c r="H125" s="106">
        <f>'2023'!$F125*5%</f>
        <v>449.88850000000002</v>
      </c>
      <c r="I125" s="106">
        <f>'2023'!$F125-'2023'!$C125</f>
        <v>8548</v>
      </c>
      <c r="J125" s="106">
        <f>J129-H130</f>
        <v>29495.268484375003</v>
      </c>
      <c r="K125" s="106">
        <f>F120-C120</f>
        <v>22798.272499999999</v>
      </c>
      <c r="L125" s="105">
        <f>97797894.74-L123</f>
        <v>4.739999994635582</v>
      </c>
      <c r="M125" s="105">
        <f>F120*5%</f>
        <v>1199.8744999999999</v>
      </c>
    </row>
    <row r="126" spans="1:14" s="105" customFormat="1" hidden="1">
      <c r="A126" s="74" t="s">
        <v>33</v>
      </c>
      <c r="B126" s="67" t="s">
        <v>73</v>
      </c>
      <c r="C126" s="13">
        <v>631.57500000000005</v>
      </c>
      <c r="D126" s="13">
        <v>12000</v>
      </c>
      <c r="E126" s="13"/>
      <c r="F126" s="86">
        <f>'2023'!$C126+'2023'!$D126</f>
        <v>12631.575000000001</v>
      </c>
      <c r="G126" s="87" t="e">
        <f>#REF!+#REF!+C122+C121+C120+C119+C118+C117</f>
        <v>#REF!</v>
      </c>
      <c r="H126" s="106">
        <f>'2023'!$F126*5%</f>
        <v>631.57875000000013</v>
      </c>
      <c r="I126" s="106">
        <f>'2023'!$F126-'2023'!$C126</f>
        <v>12000</v>
      </c>
      <c r="J126" s="106">
        <f>F120-C120</f>
        <v>22798.272499999999</v>
      </c>
      <c r="K126" s="106"/>
      <c r="L126" s="105">
        <f>L125/1000</f>
        <v>4.7399999946355822E-3</v>
      </c>
      <c r="M126" s="105">
        <f t="shared" ref="M126:M136" si="3">F121*5%</f>
        <v>200</v>
      </c>
      <c r="N126" s="106">
        <f>F120+F121+F122+F123+F124+F125+'2023'!$F126+F127+F128+F129+F130+F131</f>
        <v>97797.884999999995</v>
      </c>
    </row>
    <row r="127" spans="1:14" s="105" customFormat="1" hidden="1">
      <c r="A127" s="74" t="s">
        <v>36</v>
      </c>
      <c r="B127" s="67" t="s">
        <v>73</v>
      </c>
      <c r="C127" s="13">
        <v>168.60000000000002</v>
      </c>
      <c r="D127" s="13">
        <v>3200</v>
      </c>
      <c r="E127" s="13"/>
      <c r="F127" s="86">
        <f>'2023'!$C127+'2023'!$D127</f>
        <v>3368.6</v>
      </c>
      <c r="G127" s="87" t="e">
        <f>D123+#REF!+#REF!+C122+C121+C120+C119+C118</f>
        <v>#REF!</v>
      </c>
      <c r="H127" s="106">
        <f>'2023'!$F127*5%</f>
        <v>168.43</v>
      </c>
      <c r="I127" s="106">
        <f>'2023'!$F127-'2023'!$C127</f>
        <v>3200</v>
      </c>
      <c r="J127" s="106"/>
      <c r="K127" s="106"/>
      <c r="M127" s="105">
        <f t="shared" si="3"/>
        <v>840</v>
      </c>
    </row>
    <row r="128" spans="1:14" s="105" customFormat="1" hidden="1">
      <c r="A128" s="74" t="s">
        <v>37</v>
      </c>
      <c r="B128" s="67" t="s">
        <v>73</v>
      </c>
      <c r="C128" s="13">
        <v>118.42031250000001</v>
      </c>
      <c r="D128" s="13">
        <v>2250</v>
      </c>
      <c r="E128" s="13"/>
      <c r="F128" s="86">
        <f>'2023'!$C128+'2023'!$D128</f>
        <v>2368.4203124999999</v>
      </c>
      <c r="G128" s="87" t="e">
        <f>D124+C123+#REF!+#REF!+C122+C121+C120+C119</f>
        <v>#REF!</v>
      </c>
      <c r="H128" s="106">
        <f>'2023'!$F128*5%</f>
        <v>118.421015625</v>
      </c>
      <c r="I128" s="106">
        <f>'2023'!$F128-'2023'!$C128</f>
        <v>2250</v>
      </c>
      <c r="J128" s="106"/>
      <c r="K128" s="106"/>
      <c r="M128" s="105">
        <f t="shared" si="3"/>
        <v>165</v>
      </c>
      <c r="N128" s="106">
        <f>N126-97797.89</f>
        <v>-5.0000000046566129E-3</v>
      </c>
    </row>
    <row r="129" spans="1:14" s="105" customFormat="1" hidden="1">
      <c r="A129" s="74" t="s">
        <v>38</v>
      </c>
      <c r="B129" s="67" t="s">
        <v>73</v>
      </c>
      <c r="C129" s="13">
        <v>168.42000000000002</v>
      </c>
      <c r="D129" s="13">
        <v>3200</v>
      </c>
      <c r="E129" s="13"/>
      <c r="F129" s="86">
        <f>'2023'!$C129+'2023'!$D129</f>
        <v>3368.42</v>
      </c>
      <c r="G129" s="87" t="e">
        <f>D125+C124+C123+#REF!+#REF!+C122+C121+C120</f>
        <v>#REF!</v>
      </c>
      <c r="H129" s="106">
        <f>'2023'!$F129*5%</f>
        <v>168.42100000000002</v>
      </c>
      <c r="I129" s="106">
        <f>'2023'!$F129-'2023'!$C129</f>
        <v>3200</v>
      </c>
      <c r="J129" s="111">
        <v>29697.9</v>
      </c>
      <c r="K129" s="106"/>
      <c r="M129" s="105">
        <f t="shared" si="3"/>
        <v>603.54375000000005</v>
      </c>
    </row>
    <row r="130" spans="1:14" s="105" customFormat="1" hidden="1">
      <c r="A130" s="104" t="s">
        <v>39</v>
      </c>
      <c r="B130" s="85" t="s">
        <v>73</v>
      </c>
      <c r="C130" s="86">
        <v>202.6303125</v>
      </c>
      <c r="D130" s="86">
        <v>3850</v>
      </c>
      <c r="E130" s="86"/>
      <c r="F130" s="86">
        <f>'2023'!$C130+'2023'!$D130</f>
        <v>4052.6303124999999</v>
      </c>
      <c r="G130" s="87" t="e">
        <f>D126+C125+C124+C123+#REF!+#REF!+C122+C121</f>
        <v>#REF!</v>
      </c>
      <c r="H130" s="106">
        <f>'2023'!$F130*5%</f>
        <v>202.63151562500002</v>
      </c>
      <c r="I130" s="106">
        <f>'2023'!$F130-'2023'!$C130</f>
        <v>3850</v>
      </c>
      <c r="J130" s="106"/>
      <c r="K130" s="106"/>
      <c r="L130" s="105">
        <f>97797.89*5%</f>
        <v>4889.8945000000003</v>
      </c>
      <c r="M130" s="105">
        <f t="shared" si="3"/>
        <v>449.88850000000002</v>
      </c>
    </row>
    <row r="131" spans="1:14" hidden="1">
      <c r="A131" s="74" t="s">
        <v>40</v>
      </c>
      <c r="B131" s="67" t="s">
        <v>73</v>
      </c>
      <c r="C131" s="13">
        <v>142.104375</v>
      </c>
      <c r="D131" s="13">
        <v>2700</v>
      </c>
      <c r="E131" s="13"/>
      <c r="F131" s="86">
        <f>'2023'!$C131+'2023'!$D131</f>
        <v>2842.1043749999999</v>
      </c>
      <c r="G131" s="87" t="e">
        <f>D127+C126+C125+C124+C123+#REF!+#REF!+C122</f>
        <v>#REF!</v>
      </c>
      <c r="H131" s="106">
        <f>'2023'!$F131*5%</f>
        <v>142.10521875000001</v>
      </c>
      <c r="I131" s="106">
        <f>'2023'!$F131-'2023'!$C131</f>
        <v>2700</v>
      </c>
      <c r="J131" s="103"/>
      <c r="M131" s="105">
        <f t="shared" si="3"/>
        <v>631.57875000000013</v>
      </c>
    </row>
    <row r="132" spans="1:14" hidden="1">
      <c r="A132" s="75" t="s">
        <v>53</v>
      </c>
      <c r="B132" s="67"/>
      <c r="C132" s="13">
        <f>C131+C130+C129+C128+C127+C126+C125+C124+C123+C122+C121+C120+C118+C117+C116+C115+C114</f>
        <v>20035.262500000001</v>
      </c>
      <c r="D132" s="13">
        <f>SUBTOTAL(109,D113:D131)</f>
        <v>0</v>
      </c>
      <c r="E132" s="13">
        <f>SUBTOTAL(109,E113:E131)</f>
        <v>0</v>
      </c>
      <c r="F132" s="13">
        <f>SUBTOTAL(109,F113:F131)</f>
        <v>0</v>
      </c>
      <c r="G132" s="101"/>
      <c r="J132" s="11">
        <f>112944.05-'2023'!$F$132</f>
        <v>112944.05</v>
      </c>
      <c r="K132">
        <f>J132*5%</f>
        <v>5647.2025000000003</v>
      </c>
      <c r="M132" s="105">
        <f t="shared" si="3"/>
        <v>168.43</v>
      </c>
      <c r="N132" s="11">
        <f>N136-N139</f>
        <v>0.7819999999992433</v>
      </c>
    </row>
    <row r="133" spans="1:14" ht="20" hidden="1">
      <c r="A133" s="359" t="s">
        <v>52</v>
      </c>
      <c r="B133" s="359"/>
      <c r="C133" s="359"/>
      <c r="D133" s="359"/>
      <c r="E133" s="72"/>
      <c r="F133" s="58"/>
      <c r="M133" s="105">
        <f t="shared" si="3"/>
        <v>118.421015625</v>
      </c>
    </row>
    <row r="134" spans="1:14" hidden="1">
      <c r="A134" s="73" t="s">
        <v>0</v>
      </c>
      <c r="B134" s="65" t="s">
        <v>63</v>
      </c>
      <c r="C134" s="66" t="s">
        <v>2</v>
      </c>
      <c r="D134" s="66" t="s">
        <v>1</v>
      </c>
      <c r="E134" s="66" t="s">
        <v>3</v>
      </c>
      <c r="F134" s="66" t="s">
        <v>55</v>
      </c>
      <c r="G134" s="102" t="s">
        <v>106</v>
      </c>
      <c r="H134" s="102" t="s">
        <v>109</v>
      </c>
      <c r="I134" s="102" t="s">
        <v>113</v>
      </c>
      <c r="J134" s="102" t="s">
        <v>118</v>
      </c>
      <c r="K134" s="11">
        <f>'2023'!$D$110-'2023'!$D$132</f>
        <v>92907.995500000005</v>
      </c>
      <c r="L134" s="11">
        <f>F120-1.73</f>
        <v>23995.759999999998</v>
      </c>
      <c r="M134" s="105">
        <f t="shared" si="3"/>
        <v>168.42100000000002</v>
      </c>
      <c r="N134" s="11"/>
    </row>
    <row r="135" spans="1:14" hidden="1">
      <c r="A135" s="74" t="s">
        <v>87</v>
      </c>
      <c r="B135" s="67" t="s">
        <v>74</v>
      </c>
      <c r="C135" s="13">
        <v>600</v>
      </c>
      <c r="D135" s="13"/>
      <c r="E135" s="13"/>
      <c r="F135" s="13">
        <f>'2023'!$C135+'2023'!$D135</f>
        <v>600</v>
      </c>
      <c r="G135" s="87"/>
      <c r="H135" s="87"/>
      <c r="I135" s="87"/>
      <c r="J135" s="87">
        <f>C114+C115+C116+C117+C118</f>
        <v>15146.15</v>
      </c>
      <c r="M135" s="105">
        <f t="shared" si="3"/>
        <v>202.63151562500002</v>
      </c>
    </row>
    <row r="136" spans="1:14" hidden="1">
      <c r="A136" s="74" t="s">
        <v>76</v>
      </c>
      <c r="B136" s="67" t="s">
        <v>74</v>
      </c>
      <c r="C136" s="13">
        <v>400</v>
      </c>
      <c r="D136" s="13"/>
      <c r="E136" s="13"/>
      <c r="F136" s="13">
        <f>'2023'!$C136+'2023'!$D136</f>
        <v>400</v>
      </c>
      <c r="G136" s="87"/>
      <c r="H136" s="87"/>
      <c r="I136" s="87"/>
      <c r="J136" s="87">
        <f>C115+C116+C117+C118+C119</f>
        <v>14546.15</v>
      </c>
      <c r="K136" s="11"/>
      <c r="L136" s="11">
        <f>'2023'!$D$132-'2023'!$D$110</f>
        <v>-92907.995500000005</v>
      </c>
      <c r="M136" s="105">
        <f t="shared" si="3"/>
        <v>142.10521875000001</v>
      </c>
      <c r="N136">
        <f>97797.89*5%</f>
        <v>4889.8945000000003</v>
      </c>
    </row>
    <row r="137" spans="1:14" ht="28" hidden="1">
      <c r="A137" s="74" t="s">
        <v>62</v>
      </c>
      <c r="B137" s="67" t="s">
        <v>74</v>
      </c>
      <c r="C137" s="13">
        <v>4105.3999999999996</v>
      </c>
      <c r="D137" s="13"/>
      <c r="E137" s="13"/>
      <c r="F137" s="13">
        <f>'2023'!$C137+'2023'!$D137</f>
        <v>4105.3999999999996</v>
      </c>
      <c r="G137" s="87"/>
      <c r="H137" s="87"/>
      <c r="I137" s="87"/>
      <c r="J137" s="87">
        <f>C116+C117+C118+C119+C120</f>
        <v>15345.3675</v>
      </c>
      <c r="K137">
        <f>112944.05-112876.55</f>
        <v>67.5</v>
      </c>
      <c r="M137" s="105">
        <f>F130*5%</f>
        <v>202.63151562500002</v>
      </c>
    </row>
    <row r="138" spans="1:14" hidden="1">
      <c r="A138" s="74" t="s">
        <v>19</v>
      </c>
      <c r="B138" s="67" t="s">
        <v>74</v>
      </c>
      <c r="C138" s="13">
        <v>7976.6</v>
      </c>
      <c r="D138" s="13"/>
      <c r="E138" s="13"/>
      <c r="F138" s="13">
        <f>'2023'!$C138+'2023'!$D138</f>
        <v>7976.6</v>
      </c>
      <c r="G138" s="87"/>
      <c r="H138" s="87"/>
      <c r="I138" s="87"/>
      <c r="J138" s="87">
        <f>C117+C118+C119+C120+C121</f>
        <v>11439.967500000001</v>
      </c>
    </row>
    <row r="139" spans="1:14" hidden="1">
      <c r="A139" s="74" t="s">
        <v>79</v>
      </c>
      <c r="B139" s="67" t="s">
        <v>74</v>
      </c>
      <c r="C139" s="13">
        <v>2064.15</v>
      </c>
      <c r="D139" s="13"/>
      <c r="E139" s="13"/>
      <c r="F139" s="13">
        <f>'2023'!$C139+'2023'!$D139</f>
        <v>2064.15</v>
      </c>
      <c r="G139" s="87"/>
      <c r="H139" s="87"/>
      <c r="I139" s="87"/>
      <c r="J139" s="87">
        <f>C118+C119+C120+C121+C122</f>
        <v>4303.3675000000003</v>
      </c>
      <c r="N139" s="11">
        <f>C120+C121+C122+C123+C124+C125+C126+C127+C128+C129+C130+C131</f>
        <v>4889.1125000000011</v>
      </c>
    </row>
    <row r="140" spans="1:14" hidden="1">
      <c r="A140" s="74" t="s">
        <v>24</v>
      </c>
      <c r="B140" s="67" t="s">
        <v>74</v>
      </c>
      <c r="C140" s="13">
        <v>94.5</v>
      </c>
      <c r="D140" s="13">
        <v>1800</v>
      </c>
      <c r="E140" s="13"/>
      <c r="F140" s="13">
        <f>'2023'!$C140+'2023'!$D140</f>
        <v>1894.5</v>
      </c>
      <c r="G140" s="87"/>
      <c r="H140" s="87"/>
      <c r="I140" s="87"/>
      <c r="J140" s="87" t="e">
        <f>C119+C120+C121+C122+#REF!</f>
        <v>#REF!</v>
      </c>
      <c r="N140" s="11">
        <f>F120+F121+F122+F123+F124+F125+F126+F127+F128+F129+F130+F131</f>
        <v>97797.884999999995</v>
      </c>
    </row>
    <row r="141" spans="1:14" ht="28" hidden="1">
      <c r="A141" s="74" t="s">
        <v>25</v>
      </c>
      <c r="B141" s="67" t="s">
        <v>74</v>
      </c>
      <c r="C141" s="13">
        <v>259.875</v>
      </c>
      <c r="D141" s="13">
        <v>4950</v>
      </c>
      <c r="E141" s="13"/>
      <c r="F141" s="13">
        <f>'2023'!$C141+'2023'!$D141</f>
        <v>5209.875</v>
      </c>
      <c r="G141" s="87"/>
      <c r="H141" s="87"/>
      <c r="I141" s="87"/>
      <c r="J141" s="87" t="e">
        <f>C120+C121+C122+#REF!+#REF!</f>
        <v>#REF!</v>
      </c>
    </row>
    <row r="142" spans="1:14" hidden="1">
      <c r="A142" s="74" t="s">
        <v>26</v>
      </c>
      <c r="B142" s="67" t="s">
        <v>74</v>
      </c>
      <c r="C142" s="13">
        <v>141.75</v>
      </c>
      <c r="D142" s="13">
        <v>2700</v>
      </c>
      <c r="E142" s="13"/>
      <c r="F142" s="13">
        <f>'2023'!$C142+'2023'!$D142</f>
        <v>2841.75</v>
      </c>
      <c r="G142" s="87"/>
      <c r="H142" s="87"/>
      <c r="I142" s="87"/>
      <c r="J142" s="87" t="e">
        <f>C121+C122+#REF!+#REF!+C123</f>
        <v>#REF!</v>
      </c>
    </row>
    <row r="143" spans="1:14" ht="28" hidden="1">
      <c r="A143" s="74" t="s">
        <v>27</v>
      </c>
      <c r="B143" s="67" t="s">
        <v>74</v>
      </c>
      <c r="C143" s="13">
        <v>141.75</v>
      </c>
      <c r="D143" s="13">
        <v>2700</v>
      </c>
      <c r="E143" s="13"/>
      <c r="F143" s="13">
        <f>'2023'!$C143+'2023'!$D143</f>
        <v>2841.75</v>
      </c>
      <c r="G143" s="87"/>
      <c r="H143" s="87"/>
      <c r="I143" s="87"/>
      <c r="J143" s="87" t="e">
        <f>C122+#REF!+#REF!+C123+C124</f>
        <v>#REF!</v>
      </c>
    </row>
    <row r="144" spans="1:14" ht="28" hidden="1">
      <c r="A144" s="74" t="s">
        <v>28</v>
      </c>
      <c r="B144" s="67" t="s">
        <v>74</v>
      </c>
      <c r="C144" s="13">
        <v>210</v>
      </c>
      <c r="D144" s="13">
        <v>4000</v>
      </c>
      <c r="E144" s="13"/>
      <c r="F144" s="13">
        <f>'2023'!$C144+'2023'!$D144</f>
        <v>4210</v>
      </c>
      <c r="G144" s="87"/>
      <c r="H144" s="87"/>
      <c r="I144" s="87"/>
      <c r="J144" s="87" t="e">
        <f>#REF!+#REF!+C123+C124+C125</f>
        <v>#REF!</v>
      </c>
    </row>
    <row r="145" spans="1:10" hidden="1">
      <c r="A145" s="74" t="s">
        <v>29</v>
      </c>
      <c r="B145" s="67" t="s">
        <v>74</v>
      </c>
      <c r="C145" s="13">
        <v>141.75</v>
      </c>
      <c r="D145" s="13">
        <v>2700</v>
      </c>
      <c r="E145" s="13"/>
      <c r="F145" s="13">
        <f>'2023'!$C145+'2023'!$D145</f>
        <v>2841.75</v>
      </c>
      <c r="G145" s="87"/>
      <c r="H145" s="87"/>
      <c r="I145" s="87"/>
      <c r="J145" s="87" t="e">
        <f>#REF!+C123+C124+C125+C126</f>
        <v>#REF!</v>
      </c>
    </row>
    <row r="146" spans="1:10" ht="28" hidden="1">
      <c r="A146" s="74" t="s">
        <v>30</v>
      </c>
      <c r="B146" s="67" t="s">
        <v>74</v>
      </c>
      <c r="C146" s="13">
        <v>315</v>
      </c>
      <c r="D146" s="13">
        <v>6000</v>
      </c>
      <c r="E146" s="13"/>
      <c r="F146" s="13">
        <f>'2023'!$C146+'2023'!$D146</f>
        <v>6315</v>
      </c>
      <c r="G146" s="87"/>
      <c r="H146" s="87"/>
      <c r="I146" s="87"/>
      <c r="J146" s="87">
        <f>C123+C124+C125+C126+C127</f>
        <v>2018.3200000000002</v>
      </c>
    </row>
    <row r="147" spans="1:10" hidden="1">
      <c r="A147" s="74" t="s">
        <v>31</v>
      </c>
      <c r="B147" s="67" t="s">
        <v>74</v>
      </c>
      <c r="C147" s="13">
        <v>157.5</v>
      </c>
      <c r="D147" s="13">
        <v>3000</v>
      </c>
      <c r="E147" s="13"/>
      <c r="F147" s="13">
        <f>'2023'!$C147+'2023'!$D147</f>
        <v>3157.5</v>
      </c>
      <c r="G147" s="87"/>
      <c r="H147" s="87"/>
      <c r="I147" s="87"/>
      <c r="J147" s="87">
        <f>C124+C125+C126+C127+C128</f>
        <v>1971.7403125000001</v>
      </c>
    </row>
    <row r="148" spans="1:10" hidden="1">
      <c r="A148" s="74" t="s">
        <v>32</v>
      </c>
      <c r="B148" s="67" t="s">
        <v>74</v>
      </c>
      <c r="C148" s="13">
        <v>141.75</v>
      </c>
      <c r="D148" s="13">
        <v>2700</v>
      </c>
      <c r="E148" s="13"/>
      <c r="F148" s="13">
        <f>'2023'!$C148+'2023'!$D148</f>
        <v>2841.75</v>
      </c>
      <c r="G148" s="87"/>
      <c r="H148" s="87"/>
      <c r="I148" s="87"/>
      <c r="J148" s="87">
        <f>C125+C126+C127+C128+C129</f>
        <v>1536.7853125000001</v>
      </c>
    </row>
    <row r="149" spans="1:10" s="130" customFormat="1" hidden="1">
      <c r="A149" s="127" t="s">
        <v>124</v>
      </c>
      <c r="B149" s="128" t="s">
        <v>74</v>
      </c>
      <c r="C149" s="100">
        <f>'2023'!$F149*5%</f>
        <v>225</v>
      </c>
      <c r="D149" s="100">
        <f>'2023'!$F149-'2023'!$C149</f>
        <v>4275</v>
      </c>
      <c r="E149" s="100"/>
      <c r="F149" s="100">
        <v>4500</v>
      </c>
      <c r="G149" s="129"/>
      <c r="H149" s="129"/>
      <c r="I149" s="129"/>
      <c r="J149" s="129">
        <f>C128+C129+C130+C131+C132</f>
        <v>20666.837500000001</v>
      </c>
    </row>
    <row r="150" spans="1:10" s="130" customFormat="1" hidden="1">
      <c r="A150" s="127" t="s">
        <v>125</v>
      </c>
      <c r="B150" s="128" t="s">
        <v>74</v>
      </c>
      <c r="C150" s="100">
        <v>1199.2175</v>
      </c>
      <c r="D150" s="100">
        <v>22798.272499999999</v>
      </c>
      <c r="E150" s="100"/>
      <c r="F150" s="100">
        <f>SUM('2023'!$C150:$E150)</f>
        <v>23997.489999999998</v>
      </c>
      <c r="G150" s="129"/>
      <c r="H150" s="129"/>
      <c r="I150" s="129"/>
      <c r="J150" s="129">
        <f>C128+C129+C130+C131+C132</f>
        <v>20666.837500000001</v>
      </c>
    </row>
    <row r="151" spans="1:10" s="130" customFormat="1" hidden="1">
      <c r="A151" s="131" t="s">
        <v>53</v>
      </c>
      <c r="B151" s="128"/>
      <c r="C151" s="100">
        <f>C135+C136+C137+C138+C139+C140+C141+C143+C142+C144+C145+C146+C147+C148</f>
        <v>16750.025000000001</v>
      </c>
      <c r="D151" s="100">
        <f>D135+D136+D137+D138+D139+D140+D141+D143+D142+D144+D145+D146+D147+D148</f>
        <v>30550</v>
      </c>
      <c r="E151" s="100"/>
      <c r="F151" s="100">
        <f>F148+F147+F146+F145+F144+F143+F142+F141+F140+F139+F138+F137+F136+F135</f>
        <v>47300.025000000001</v>
      </c>
      <c r="G151" s="132"/>
      <c r="H151" s="132"/>
      <c r="I151" s="132"/>
      <c r="J151" s="132"/>
    </row>
    <row r="152" spans="1:10" hidden="1"/>
    <row r="153" spans="1:10" ht="15" hidden="1">
      <c r="A153" s="354" t="s">
        <v>96</v>
      </c>
      <c r="B153" s="355"/>
      <c r="C153" s="355"/>
      <c r="D153" s="355"/>
      <c r="E153" s="355"/>
      <c r="F153" s="355"/>
      <c r="G153" s="355"/>
      <c r="H153" s="355"/>
      <c r="I153" s="356"/>
    </row>
    <row r="154" spans="1:10" ht="15.5" hidden="1">
      <c r="A154" s="349" t="s">
        <v>97</v>
      </c>
      <c r="B154" s="350" t="s">
        <v>98</v>
      </c>
      <c r="C154" s="351" t="s">
        <v>99</v>
      </c>
      <c r="D154" s="352"/>
      <c r="E154" s="352"/>
      <c r="F154" s="352"/>
      <c r="G154" s="352"/>
      <c r="H154" s="352"/>
      <c r="I154" s="353"/>
    </row>
    <row r="155" spans="1:10" ht="15.5" hidden="1">
      <c r="A155" s="349"/>
      <c r="B155" s="350"/>
      <c r="C155" s="143">
        <v>2020</v>
      </c>
      <c r="D155" s="143">
        <v>2021</v>
      </c>
      <c r="E155" s="143">
        <v>2022</v>
      </c>
      <c r="F155" s="143">
        <v>2023</v>
      </c>
      <c r="G155" s="143">
        <v>2024</v>
      </c>
      <c r="H155" s="143">
        <v>2025</v>
      </c>
      <c r="I155" s="77"/>
    </row>
    <row r="156" spans="1:10" ht="31" hidden="1">
      <c r="A156" s="144" t="s">
        <v>100</v>
      </c>
      <c r="B156" s="144" t="s">
        <v>101</v>
      </c>
      <c r="C156" s="144"/>
      <c r="D156" s="144"/>
      <c r="E156" s="144"/>
      <c r="F156" s="144"/>
      <c r="G156" s="144"/>
      <c r="H156" s="144"/>
      <c r="I156" s="144"/>
    </row>
    <row r="157" spans="1:10" ht="46.5" hidden="1">
      <c r="A157" s="144" t="s">
        <v>102</v>
      </c>
      <c r="B157" s="144" t="s">
        <v>103</v>
      </c>
      <c r="C157" s="144"/>
      <c r="D157" s="144"/>
      <c r="E157" s="144"/>
      <c r="F157" s="144"/>
      <c r="G157" s="144"/>
      <c r="H157" s="144"/>
      <c r="I157" s="144"/>
    </row>
    <row r="159" spans="1:10">
      <c r="G159">
        <f>4500</f>
        <v>4500</v>
      </c>
    </row>
  </sheetData>
  <mergeCells count="11">
    <mergeCell ref="A133:D133"/>
    <mergeCell ref="A153:I153"/>
    <mergeCell ref="A154:A155"/>
    <mergeCell ref="B154:B155"/>
    <mergeCell ref="C154:I154"/>
    <mergeCell ref="A111:D111"/>
    <mergeCell ref="A5:E5"/>
    <mergeCell ref="A15:E15"/>
    <mergeCell ref="A35:D35"/>
    <mergeCell ref="A60:D60"/>
    <mergeCell ref="A95:D95"/>
  </mergeCells>
  <pageMargins left="0.7" right="0.7" top="0.75" bottom="0.75" header="0.3" footer="0.3"/>
  <pageSetup paperSize="9" scale="99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tabSelected="1" view="pageBreakPreview" zoomScale="77" zoomScaleNormal="100" zoomScaleSheetLayoutView="77" workbookViewId="0">
      <selection activeCell="AH17" sqref="AH17"/>
    </sheetView>
  </sheetViews>
  <sheetFormatPr defaultColWidth="31" defaultRowHeight="15.5"/>
  <cols>
    <col min="1" max="1" width="111.1796875" style="174" bestFit="1" customWidth="1"/>
    <col min="2" max="2" width="20.54296875" style="175" customWidth="1"/>
    <col min="3" max="3" width="19.453125" style="176" customWidth="1"/>
    <col min="4" max="4" width="22.1796875" style="176" customWidth="1"/>
    <col min="5" max="5" width="23.81640625" style="176" customWidth="1"/>
    <col min="6" max="6" width="23.54296875" style="150" customWidth="1"/>
    <col min="7" max="7" width="14.81640625" style="150" hidden="1" customWidth="1"/>
    <col min="8" max="9" width="14.81640625" style="77" hidden="1" customWidth="1"/>
    <col min="10" max="12" width="14.81640625" style="150" hidden="1" customWidth="1"/>
    <col min="13" max="14" width="0" style="150" hidden="1" customWidth="1"/>
    <col min="15" max="15" width="15.7265625" style="150" hidden="1" customWidth="1"/>
    <col min="16" max="16" width="39.81640625" style="150" hidden="1" customWidth="1"/>
    <col min="17" max="32" width="0" style="150" hidden="1" customWidth="1"/>
    <col min="33" max="16384" width="31" style="150"/>
  </cols>
  <sheetData>
    <row r="1" spans="1:15">
      <c r="A1" s="145"/>
      <c r="B1" s="146"/>
      <c r="C1" s="147"/>
      <c r="D1" s="148"/>
      <c r="E1" s="149" t="s">
        <v>41</v>
      </c>
    </row>
    <row r="2" spans="1:15">
      <c r="A2" s="145"/>
      <c r="B2" s="146"/>
      <c r="C2" s="147"/>
      <c r="D2" s="148"/>
      <c r="E2" s="149" t="s">
        <v>42</v>
      </c>
    </row>
    <row r="3" spans="1:15">
      <c r="A3" s="145"/>
      <c r="B3" s="146"/>
      <c r="C3" s="147"/>
      <c r="D3" s="148"/>
      <c r="E3" s="149" t="s">
        <v>43</v>
      </c>
    </row>
    <row r="4" spans="1:15">
      <c r="A4" s="145"/>
      <c r="B4" s="146"/>
      <c r="C4" s="147"/>
      <c r="D4" s="148"/>
      <c r="E4" s="149" t="s">
        <v>183</v>
      </c>
    </row>
    <row r="5" spans="1:15" ht="80.25" customHeight="1">
      <c r="A5" s="361" t="s">
        <v>44</v>
      </c>
      <c r="B5" s="361"/>
      <c r="C5" s="361"/>
      <c r="D5" s="361"/>
      <c r="E5" s="361"/>
    </row>
    <row r="6" spans="1:15">
      <c r="A6" s="151" t="s">
        <v>46</v>
      </c>
      <c r="B6" s="152"/>
      <c r="C6" s="153"/>
      <c r="D6" s="153"/>
      <c r="E6" s="154"/>
    </row>
    <row r="7" spans="1:15">
      <c r="A7" s="155" t="s">
        <v>63</v>
      </c>
      <c r="B7" s="156" t="s">
        <v>2</v>
      </c>
      <c r="C7" s="157" t="s">
        <v>1</v>
      </c>
      <c r="D7" s="157" t="s">
        <v>3</v>
      </c>
      <c r="E7" s="158" t="s">
        <v>55</v>
      </c>
    </row>
    <row r="8" spans="1:15" s="223" customFormat="1" ht="18.5">
      <c r="A8" s="256">
        <v>2020</v>
      </c>
      <c r="B8" s="253">
        <f>'2023 уточнение'!$C$34</f>
        <v>27013.413510000002</v>
      </c>
      <c r="C8" s="253">
        <f>'2023 уточнение'!$D$34</f>
        <v>81475.147490000003</v>
      </c>
      <c r="D8" s="253">
        <v>0</v>
      </c>
      <c r="E8" s="257">
        <f>SUM('2023 уточнение'!$B8:$D8)</f>
        <v>108488.561</v>
      </c>
      <c r="G8" s="224">
        <f>'2023 уточнение'!$B8+B9+B10+B11+B12+B13</f>
        <v>168973.8284341</v>
      </c>
      <c r="H8" s="224"/>
      <c r="I8" s="224"/>
      <c r="J8" s="258"/>
      <c r="K8" s="258"/>
      <c r="L8" s="258"/>
    </row>
    <row r="9" spans="1:15" s="223" customFormat="1" ht="21" customHeight="1">
      <c r="A9" s="256">
        <v>2021</v>
      </c>
      <c r="B9" s="253">
        <v>29257.209208099997</v>
      </c>
      <c r="C9" s="253">
        <v>73359.368621460002</v>
      </c>
      <c r="D9" s="253">
        <v>0</v>
      </c>
      <c r="E9" s="257">
        <v>102616.57</v>
      </c>
      <c r="G9" s="224">
        <f>C8+'2023 уточнение'!$C9+C10+C11+C12+C13</f>
        <v>536248.53871482739</v>
      </c>
      <c r="H9" s="224"/>
      <c r="I9" s="224"/>
      <c r="J9" s="258"/>
      <c r="K9" s="258"/>
      <c r="L9" s="258"/>
    </row>
    <row r="10" spans="1:15" s="223" customFormat="1" ht="18.5">
      <c r="A10" s="256">
        <v>2022</v>
      </c>
      <c r="B10" s="253">
        <f>'2023 уточнение'!$C$98+0.01</f>
        <v>36565.628287499996</v>
      </c>
      <c r="C10" s="253">
        <f>'2023 уточнение'!$D$98</f>
        <v>154885.76304249998</v>
      </c>
      <c r="D10" s="253">
        <v>0</v>
      </c>
      <c r="E10" s="257">
        <f>'2023 уточнение'!$B10+'2023 уточнение'!$C10</f>
        <v>191451.39132999998</v>
      </c>
      <c r="H10" s="224"/>
      <c r="I10" s="224"/>
      <c r="J10" s="258"/>
      <c r="K10" s="258"/>
      <c r="L10" s="258"/>
    </row>
    <row r="11" spans="1:15" s="223" customFormat="1" ht="18.5">
      <c r="A11" s="256">
        <v>2023</v>
      </c>
      <c r="B11" s="253">
        <f>'2023 уточнение'!$C$127/1000</f>
        <v>32755.457428500005</v>
      </c>
      <c r="C11" s="253">
        <f>(D117+D126)/1000</f>
        <v>133620.25973299998</v>
      </c>
      <c r="D11" s="253">
        <f>E126/1000</f>
        <v>0</v>
      </c>
      <c r="E11" s="259">
        <f>'2023 уточнение'!$D11+'2023 уточнение'!$C11+'2023 уточнение'!$B11</f>
        <v>166375.71716149998</v>
      </c>
      <c r="G11" s="224">
        <f>E8+E9+E10+'2023 уточнение'!$E11+E12+E13</f>
        <v>705222.35931936745</v>
      </c>
      <c r="H11" s="224"/>
      <c r="I11" s="224"/>
      <c r="J11" s="260"/>
      <c r="K11" s="260"/>
      <c r="L11" s="260"/>
    </row>
    <row r="12" spans="1:15" s="223" customFormat="1" ht="18.5">
      <c r="A12" s="256">
        <v>2024</v>
      </c>
      <c r="B12" s="253">
        <v>20952.8</v>
      </c>
      <c r="C12" s="253">
        <f>'2023 уточнение'!$D$146</f>
        <v>92907.99982786749</v>
      </c>
      <c r="D12" s="253">
        <v>0</v>
      </c>
      <c r="E12" s="257">
        <f>SUM('2023 уточнение'!$B12:$D12)</f>
        <v>113860.79982786749</v>
      </c>
      <c r="H12" s="224"/>
      <c r="I12" s="224"/>
      <c r="J12" s="261"/>
      <c r="K12" s="261"/>
      <c r="L12" s="261"/>
    </row>
    <row r="13" spans="1:15" s="223" customFormat="1" ht="18.5">
      <c r="A13" s="262">
        <v>2025</v>
      </c>
      <c r="B13" s="253">
        <f>'2023 уточнение'!$C$167</f>
        <v>22429.32</v>
      </c>
      <c r="C13" s="253">
        <f>'2023 уточнение'!$D$167</f>
        <v>0</v>
      </c>
      <c r="D13" s="253">
        <f>E127/1000</f>
        <v>0</v>
      </c>
      <c r="E13" s="263">
        <f>SUM('2023 уточнение'!$B13:$D13)</f>
        <v>22429.32</v>
      </c>
      <c r="H13" s="224"/>
      <c r="I13" s="224"/>
      <c r="J13" s="258"/>
      <c r="K13" s="258"/>
      <c r="L13" s="258"/>
    </row>
    <row r="14" spans="1:15" s="223" customFormat="1" ht="18.5" hidden="1">
      <c r="A14" s="262">
        <v>2026</v>
      </c>
      <c r="B14" s="253">
        <f>'2023 уточнение'!$C$167</f>
        <v>22429.32</v>
      </c>
      <c r="C14" s="264"/>
      <c r="D14" s="264"/>
      <c r="E14" s="263">
        <f>SUM('2023 уточнение'!$B14:$D14)</f>
        <v>22429.32</v>
      </c>
      <c r="H14" s="224"/>
      <c r="I14" s="224"/>
      <c r="O14" s="265">
        <f>E13+E12+E11+E10+E9+E8</f>
        <v>705222.35931936745</v>
      </c>
    </row>
    <row r="15" spans="1:15" s="223" customFormat="1" ht="18.5">
      <c r="A15" s="362" t="s">
        <v>47</v>
      </c>
      <c r="B15" s="363"/>
      <c r="C15" s="363"/>
      <c r="D15" s="363"/>
      <c r="E15" s="364"/>
      <c r="H15" s="224"/>
      <c r="I15" s="224"/>
      <c r="O15" s="224"/>
    </row>
    <row r="16" spans="1:15" s="223" customFormat="1" ht="18.5">
      <c r="A16" s="266"/>
      <c r="B16" s="267"/>
      <c r="C16" s="268" t="s">
        <v>45</v>
      </c>
      <c r="D16" s="269"/>
      <c r="E16" s="270"/>
      <c r="F16" s="271"/>
      <c r="H16" s="224"/>
      <c r="I16" s="224"/>
    </row>
    <row r="17" spans="1:9" s="223" customFormat="1" ht="18.5">
      <c r="A17" s="272" t="s">
        <v>0</v>
      </c>
      <c r="B17" s="216" t="s">
        <v>63</v>
      </c>
      <c r="C17" s="218" t="s">
        <v>2</v>
      </c>
      <c r="D17" s="218" t="s">
        <v>1</v>
      </c>
      <c r="E17" s="218" t="s">
        <v>3</v>
      </c>
      <c r="F17" s="218" t="s">
        <v>55</v>
      </c>
      <c r="H17" s="224"/>
      <c r="I17" s="224"/>
    </row>
    <row r="18" spans="1:9" s="223" customFormat="1" ht="18.5">
      <c r="A18" s="255" t="s">
        <v>4</v>
      </c>
      <c r="B18" s="251">
        <v>2020</v>
      </c>
      <c r="C18" s="252">
        <v>8577.6</v>
      </c>
      <c r="D18" s="252"/>
      <c r="E18" s="252"/>
      <c r="F18" s="252">
        <f>'2023 уточнение'!$C18+'2023 уточнение'!$D18+'2023 уточнение'!$E18</f>
        <v>8577.6</v>
      </c>
      <c r="H18" s="224"/>
      <c r="I18" s="224"/>
    </row>
    <row r="19" spans="1:9" s="223" customFormat="1" ht="54">
      <c r="A19" s="254" t="s">
        <v>5</v>
      </c>
      <c r="B19" s="251">
        <v>2020</v>
      </c>
      <c r="C19" s="253">
        <v>459.15150999999997</v>
      </c>
      <c r="D19" s="253"/>
      <c r="E19" s="253"/>
      <c r="F19" s="252">
        <f>'2023 уточнение'!$C19+'2023 уточнение'!$D19+'2023 уточнение'!$E19</f>
        <v>459.15150999999997</v>
      </c>
      <c r="H19" s="224"/>
      <c r="I19" s="224"/>
    </row>
    <row r="20" spans="1:9" s="223" customFormat="1" ht="18.5">
      <c r="A20" s="255" t="s">
        <v>6</v>
      </c>
      <c r="B20" s="251">
        <v>2020</v>
      </c>
      <c r="C20" s="252">
        <v>369.25299999999999</v>
      </c>
      <c r="D20" s="252">
        <v>7015.8124900000003</v>
      </c>
      <c r="E20" s="252"/>
      <c r="F20" s="252">
        <f>'2023 уточнение'!$C20+'2023 уточнение'!$D20+'2023 уточнение'!$E20</f>
        <v>7385.06549</v>
      </c>
      <c r="H20" s="224"/>
      <c r="I20" s="224"/>
    </row>
    <row r="21" spans="1:9" s="223" customFormat="1" ht="18.5">
      <c r="A21" s="254" t="s">
        <v>7</v>
      </c>
      <c r="B21" s="251">
        <v>2020</v>
      </c>
      <c r="C21" s="253">
        <v>692.255</v>
      </c>
      <c r="D21" s="253">
        <v>13152.85</v>
      </c>
      <c r="E21" s="253"/>
      <c r="F21" s="252">
        <f>'2023 уточнение'!$C21+'2023 уточнение'!$D21+'2023 уточнение'!$E21</f>
        <v>13845.105</v>
      </c>
      <c r="H21" s="224"/>
      <c r="I21" s="224"/>
    </row>
    <row r="22" spans="1:9" s="223" customFormat="1" ht="18.5">
      <c r="A22" s="255" t="s">
        <v>8</v>
      </c>
      <c r="B22" s="251">
        <v>2020</v>
      </c>
      <c r="C22" s="252">
        <v>599.40499999999997</v>
      </c>
      <c r="D22" s="252"/>
      <c r="E22" s="252"/>
      <c r="F22" s="252">
        <f>'2023 уточнение'!$C22+'2023 уточнение'!$D22+'2023 уточнение'!$E22</f>
        <v>599.40499999999997</v>
      </c>
      <c r="H22" s="224"/>
      <c r="I22" s="224"/>
    </row>
    <row r="23" spans="1:9" s="223" customFormat="1" ht="18.5">
      <c r="A23" s="254" t="s">
        <v>17</v>
      </c>
      <c r="B23" s="251">
        <v>2020</v>
      </c>
      <c r="C23" s="253">
        <v>599.99</v>
      </c>
      <c r="D23" s="253"/>
      <c r="E23" s="253"/>
      <c r="F23" s="252">
        <f>'2023 уточнение'!$C23+'2023 уточнение'!$D23+'2023 уточнение'!$E23</f>
        <v>599.99</v>
      </c>
      <c r="H23" s="224"/>
      <c r="I23" s="224"/>
    </row>
    <row r="24" spans="1:9" s="223" customFormat="1" ht="18.5">
      <c r="A24" s="255" t="s">
        <v>17</v>
      </c>
      <c r="B24" s="251">
        <v>2020</v>
      </c>
      <c r="C24" s="252">
        <v>471.78899999999999</v>
      </c>
      <c r="D24" s="252"/>
      <c r="E24" s="252"/>
      <c r="F24" s="252">
        <f>'2023 уточнение'!$C24+'2023 уточнение'!$D24+'2023 уточнение'!$E24</f>
        <v>471.78899999999999</v>
      </c>
      <c r="H24" s="224"/>
      <c r="I24" s="224"/>
    </row>
    <row r="25" spans="1:9" s="223" customFormat="1" ht="18.5">
      <c r="A25" s="254" t="s">
        <v>9</v>
      </c>
      <c r="B25" s="251">
        <v>2020</v>
      </c>
      <c r="C25" s="253">
        <v>2.423</v>
      </c>
      <c r="D25" s="253">
        <v>2420.9670000000001</v>
      </c>
      <c r="E25" s="253"/>
      <c r="F25" s="252">
        <f>'2023 уточнение'!$C25+'2023 уточнение'!$D25+'2023 уточнение'!$E25</f>
        <v>2423.39</v>
      </c>
      <c r="H25" s="224"/>
      <c r="I25" s="224"/>
    </row>
    <row r="26" spans="1:9" s="223" customFormat="1" ht="36">
      <c r="A26" s="255" t="s">
        <v>10</v>
      </c>
      <c r="B26" s="251">
        <v>2020</v>
      </c>
      <c r="C26" s="252">
        <v>31.129000000000001</v>
      </c>
      <c r="D26" s="252">
        <v>31098.330999999998</v>
      </c>
      <c r="E26" s="252"/>
      <c r="F26" s="252">
        <f>'2023 уточнение'!$C26+'2023 уточнение'!$D26+'2023 уточнение'!$E26</f>
        <v>31129.46</v>
      </c>
      <c r="H26" s="224"/>
      <c r="I26" s="224"/>
    </row>
    <row r="27" spans="1:9" s="223" customFormat="1" ht="36">
      <c r="A27" s="254" t="s">
        <v>11</v>
      </c>
      <c r="B27" s="251">
        <v>2020</v>
      </c>
      <c r="C27" s="253">
        <v>11.779</v>
      </c>
      <c r="D27" s="253">
        <v>11766.829</v>
      </c>
      <c r="E27" s="253"/>
      <c r="F27" s="252">
        <f>'2023 уточнение'!$C27+'2023 уточнение'!$D27+'2023 уточнение'!$E27</f>
        <v>11778.608</v>
      </c>
      <c r="H27" s="224"/>
      <c r="I27" s="224"/>
    </row>
    <row r="28" spans="1:9" s="223" customFormat="1" ht="36">
      <c r="A28" s="255" t="s">
        <v>12</v>
      </c>
      <c r="B28" s="251">
        <v>2020</v>
      </c>
      <c r="C28" s="252">
        <v>400</v>
      </c>
      <c r="D28" s="252">
        <v>9600</v>
      </c>
      <c r="E28" s="252"/>
      <c r="F28" s="252">
        <f>'2023 уточнение'!$C28+'2023 уточнение'!$D28+'2023 уточнение'!$E28</f>
        <v>10000</v>
      </c>
      <c r="H28" s="224"/>
      <c r="I28" s="224"/>
    </row>
    <row r="29" spans="1:9" s="223" customFormat="1" ht="18.5">
      <c r="A29" s="254" t="s">
        <v>13</v>
      </c>
      <c r="B29" s="251">
        <v>2020</v>
      </c>
      <c r="C29" s="253">
        <v>229.452</v>
      </c>
      <c r="D29" s="253">
        <v>4359.585</v>
      </c>
      <c r="E29" s="253"/>
      <c r="F29" s="252">
        <f>'2023 уточнение'!$C29+'2023 уточнение'!$D29+'2023 уточнение'!$E29</f>
        <v>4589.0370000000003</v>
      </c>
      <c r="H29" s="224"/>
      <c r="I29" s="224"/>
    </row>
    <row r="30" spans="1:9" s="223" customFormat="1" ht="54">
      <c r="A30" s="255" t="s">
        <v>14</v>
      </c>
      <c r="B30" s="251">
        <v>2020</v>
      </c>
      <c r="C30" s="252">
        <v>108.461</v>
      </c>
      <c r="D30" s="252">
        <v>2060.7730000000001</v>
      </c>
      <c r="E30" s="252"/>
      <c r="F30" s="252">
        <f>'2023 уточнение'!$C30+'2023 уточнение'!$D30+'2023 уточнение'!$E30</f>
        <v>2169.2339999999999</v>
      </c>
      <c r="H30" s="224"/>
      <c r="I30" s="224"/>
    </row>
    <row r="31" spans="1:9" s="223" customFormat="1" ht="18.5">
      <c r="A31" s="254" t="s">
        <v>15</v>
      </c>
      <c r="B31" s="251">
        <v>2020</v>
      </c>
      <c r="C31" s="253">
        <v>144.626</v>
      </c>
      <c r="D31" s="253"/>
      <c r="E31" s="253"/>
      <c r="F31" s="252">
        <f>'2023 уточнение'!$C31+'2023 уточнение'!$D31+'2023 уточнение'!$E31</f>
        <v>144.626</v>
      </c>
      <c r="H31" s="224"/>
      <c r="I31" s="224"/>
    </row>
    <row r="32" spans="1:9" s="223" customFormat="1" ht="18.5">
      <c r="A32" s="255" t="s">
        <v>16</v>
      </c>
      <c r="B32" s="251">
        <v>2020</v>
      </c>
      <c r="C32" s="252">
        <v>302</v>
      </c>
      <c r="D32" s="252"/>
      <c r="E32" s="252"/>
      <c r="F32" s="252">
        <f>'2023 уточнение'!$C32+'2023 уточнение'!$D32+'2023 уточнение'!$E32</f>
        <v>302</v>
      </c>
      <c r="H32" s="224"/>
      <c r="I32" s="224"/>
    </row>
    <row r="33" spans="1:10" s="223" customFormat="1" ht="18.5">
      <c r="A33" s="255" t="s">
        <v>54</v>
      </c>
      <c r="B33" s="251">
        <v>2020</v>
      </c>
      <c r="C33" s="252">
        <v>14014.1</v>
      </c>
      <c r="D33" s="252"/>
      <c r="E33" s="252"/>
      <c r="F33" s="252">
        <f>'2023 уточнение'!$C33+'2023 уточнение'!$D33+'2023 уточнение'!$E33</f>
        <v>14014.1</v>
      </c>
      <c r="H33" s="224"/>
      <c r="I33" s="224"/>
    </row>
    <row r="34" spans="1:10" s="223" customFormat="1" ht="18.5">
      <c r="A34" s="273" t="s">
        <v>53</v>
      </c>
      <c r="B34" s="251"/>
      <c r="C34" s="252">
        <f>SUBTOTAL(109,C18:C33)</f>
        <v>27013.413510000002</v>
      </c>
      <c r="D34" s="252">
        <f>SUBTOTAL(109,D18:D33)</f>
        <v>81475.147490000003</v>
      </c>
      <c r="E34" s="252">
        <f>SUBTOTAL(109,E18:E33)</f>
        <v>0</v>
      </c>
      <c r="F34" s="252">
        <f>SUBTOTAL(109,F18:F33)</f>
        <v>108488.561</v>
      </c>
      <c r="H34" s="224"/>
      <c r="I34" s="224"/>
    </row>
    <row r="35" spans="1:10" s="223" customFormat="1" ht="18.5">
      <c r="A35" s="365" t="s">
        <v>48</v>
      </c>
      <c r="B35" s="365"/>
      <c r="C35" s="365"/>
      <c r="D35" s="365"/>
      <c r="E35" s="253"/>
      <c r="F35" s="274"/>
      <c r="H35" s="224"/>
      <c r="I35" s="224"/>
    </row>
    <row r="36" spans="1:10" s="223" customFormat="1" ht="18.5">
      <c r="A36" s="275" t="s">
        <v>0</v>
      </c>
      <c r="B36" s="276" t="s">
        <v>63</v>
      </c>
      <c r="C36" s="277" t="s">
        <v>2</v>
      </c>
      <c r="D36" s="277" t="s">
        <v>1</v>
      </c>
      <c r="E36" s="277" t="s">
        <v>3</v>
      </c>
      <c r="F36" s="277" t="s">
        <v>55</v>
      </c>
      <c r="G36" s="278" t="s">
        <v>106</v>
      </c>
      <c r="H36" s="278" t="s">
        <v>109</v>
      </c>
      <c r="I36" s="224"/>
    </row>
    <row r="37" spans="1:10" s="247" customFormat="1" ht="18.5">
      <c r="A37" s="279" t="s">
        <v>54</v>
      </c>
      <c r="B37" s="280" t="s">
        <v>70</v>
      </c>
      <c r="C37" s="281">
        <v>14857.17916</v>
      </c>
      <c r="D37" s="281"/>
      <c r="E37" s="281"/>
      <c r="F37" s="281">
        <v>14857.17916</v>
      </c>
      <c r="G37" s="222"/>
      <c r="H37" s="222"/>
      <c r="I37" s="246"/>
    </row>
    <row r="38" spans="1:10" s="247" customFormat="1" ht="18.5">
      <c r="A38" s="279" t="s">
        <v>107</v>
      </c>
      <c r="B38" s="280" t="s">
        <v>70</v>
      </c>
      <c r="C38" s="281">
        <f>C39+C40+C41+C42+C43+C44+C45</f>
        <v>11948.396805</v>
      </c>
      <c r="D38" s="281"/>
      <c r="E38" s="281"/>
      <c r="F38" s="281">
        <f>F39+F40+F41+F42+F43+F44+F45</f>
        <v>11948.396805</v>
      </c>
      <c r="G38" s="222"/>
      <c r="H38" s="222"/>
      <c r="I38" s="246"/>
      <c r="J38" s="247">
        <f>11948.4-11948.5</f>
        <v>-0.1000000000003638</v>
      </c>
    </row>
    <row r="39" spans="1:10" s="247" customFormat="1" ht="18.5">
      <c r="A39" s="282" t="s">
        <v>87</v>
      </c>
      <c r="B39" s="283" t="s">
        <v>70</v>
      </c>
      <c r="C39" s="239">
        <v>302</v>
      </c>
      <c r="D39" s="239"/>
      <c r="E39" s="239"/>
      <c r="F39" s="239">
        <f>SUM('2023 уточнение'!$C39:$E39)</f>
        <v>302</v>
      </c>
      <c r="G39" s="222"/>
      <c r="H39" s="222"/>
      <c r="I39" s="246"/>
    </row>
    <row r="40" spans="1:10" s="247" customFormat="1" ht="18.5">
      <c r="A40" s="284" t="s">
        <v>17</v>
      </c>
      <c r="B40" s="283" t="s">
        <v>70</v>
      </c>
      <c r="C40" s="239">
        <f>1626.3-0.1</f>
        <v>1626.2</v>
      </c>
      <c r="D40" s="239"/>
      <c r="E40" s="239"/>
      <c r="F40" s="239">
        <f>'2023 уточнение'!$C40</f>
        <v>1626.2</v>
      </c>
      <c r="G40" s="222"/>
      <c r="H40" s="222"/>
      <c r="I40" s="246"/>
    </row>
    <row r="41" spans="1:10" s="247" customFormat="1" ht="18.5">
      <c r="A41" s="282" t="s">
        <v>65</v>
      </c>
      <c r="B41" s="283" t="s">
        <v>70</v>
      </c>
      <c r="C41" s="239">
        <v>439.96019999999999</v>
      </c>
      <c r="D41" s="239"/>
      <c r="E41" s="239"/>
      <c r="F41" s="239">
        <f>SUM('2023 уточнение'!$C41:$E41)</f>
        <v>439.96019999999999</v>
      </c>
      <c r="G41" s="222"/>
      <c r="H41" s="222"/>
      <c r="I41" s="246"/>
    </row>
    <row r="42" spans="1:10" s="247" customFormat="1" ht="18.5">
      <c r="A42" s="282" t="s">
        <v>66</v>
      </c>
      <c r="B42" s="283" t="s">
        <v>70</v>
      </c>
      <c r="C42" s="239">
        <v>945.51774</v>
      </c>
      <c r="D42" s="239"/>
      <c r="E42" s="239"/>
      <c r="F42" s="239">
        <f>SUM('2023 уточнение'!$C42:$E42)</f>
        <v>945.51774</v>
      </c>
      <c r="G42" s="222"/>
      <c r="H42" s="222"/>
      <c r="I42" s="246"/>
    </row>
    <row r="43" spans="1:10" s="247" customFormat="1" ht="36.5">
      <c r="A43" s="282" t="s">
        <v>67</v>
      </c>
      <c r="B43" s="283" t="s">
        <v>70</v>
      </c>
      <c r="C43" s="239">
        <v>8028.848465</v>
      </c>
      <c r="D43" s="239"/>
      <c r="E43" s="239"/>
      <c r="F43" s="239">
        <f>SUM('2023 уточнение'!$C43:$E43)</f>
        <v>8028.848465</v>
      </c>
      <c r="G43" s="222"/>
      <c r="H43" s="222"/>
      <c r="I43" s="246"/>
    </row>
    <row r="44" spans="1:10" s="247" customFormat="1" ht="18.5">
      <c r="A44" s="282" t="s">
        <v>18</v>
      </c>
      <c r="B44" s="283" t="s">
        <v>70</v>
      </c>
      <c r="C44" s="239">
        <v>40</v>
      </c>
      <c r="D44" s="239"/>
      <c r="E44" s="239"/>
      <c r="F44" s="239">
        <f>SUM('2023 уточнение'!$C44:$E44)</f>
        <v>40</v>
      </c>
      <c r="G44" s="222"/>
      <c r="H44" s="222"/>
      <c r="I44" s="246"/>
    </row>
    <row r="45" spans="1:10" s="247" customFormat="1" ht="18.5">
      <c r="A45" s="282" t="s">
        <v>60</v>
      </c>
      <c r="B45" s="283" t="s">
        <v>70</v>
      </c>
      <c r="C45" s="239">
        <v>565.87040000000002</v>
      </c>
      <c r="D45" s="239"/>
      <c r="E45" s="239"/>
      <c r="F45" s="239">
        <f>SUM('2023 уточнение'!$C45:$E45)</f>
        <v>565.87040000000002</v>
      </c>
      <c r="G45" s="222"/>
      <c r="H45" s="222"/>
      <c r="I45" s="246"/>
    </row>
    <row r="46" spans="1:10" s="247" customFormat="1" ht="36">
      <c r="A46" s="279" t="s">
        <v>108</v>
      </c>
      <c r="B46" s="280" t="s">
        <v>70</v>
      </c>
      <c r="C46" s="281">
        <f>C47+C48</f>
        <v>1007.048092</v>
      </c>
      <c r="D46" s="281">
        <f>D47+D48</f>
        <v>24225.654208</v>
      </c>
      <c r="E46" s="281"/>
      <c r="F46" s="281">
        <f>SUM('2023 уточнение'!$C46:$E46)</f>
        <v>25232.702300000001</v>
      </c>
      <c r="G46" s="222"/>
      <c r="H46" s="222"/>
      <c r="I46" s="246"/>
    </row>
    <row r="47" spans="1:10" s="247" customFormat="1" ht="36.5">
      <c r="A47" s="282" t="s">
        <v>88</v>
      </c>
      <c r="B47" s="283" t="s">
        <v>70</v>
      </c>
      <c r="C47" s="239">
        <v>629.65709920000006</v>
      </c>
      <c r="D47" s="239">
        <f>15111.7703808+56.5</f>
        <v>15168.270380800001</v>
      </c>
      <c r="E47" s="239"/>
      <c r="F47" s="285">
        <f>SUM('2023 уточнение'!$C47:$E47)</f>
        <v>15797.92748</v>
      </c>
      <c r="G47" s="222"/>
      <c r="H47" s="222">
        <f>F46-25232.7</f>
        <v>2.3000000001047738E-3</v>
      </c>
      <c r="I47" s="246"/>
    </row>
    <row r="48" spans="1:10" s="247" customFormat="1" ht="36.5">
      <c r="A48" s="282" t="s">
        <v>89</v>
      </c>
      <c r="B48" s="283" t="s">
        <v>70</v>
      </c>
      <c r="C48" s="239">
        <v>377.39099279999999</v>
      </c>
      <c r="D48" s="239">
        <v>9057.3838271999994</v>
      </c>
      <c r="E48" s="239"/>
      <c r="F48" s="239">
        <f>SUM('2023 уточнение'!$C48:$E48)</f>
        <v>9434.7748199999987</v>
      </c>
      <c r="G48" s="222"/>
      <c r="H48" s="222"/>
      <c r="I48" s="246"/>
    </row>
    <row r="49" spans="1:16" s="247" customFormat="1" ht="18.5">
      <c r="A49" s="279" t="s">
        <v>91</v>
      </c>
      <c r="B49" s="280" t="s">
        <v>70</v>
      </c>
      <c r="C49" s="281">
        <f>C50+C51+C52+C53+C54+C55</f>
        <v>14.987885500000001</v>
      </c>
      <c r="D49" s="281">
        <f>D50+D51+D52+D53+D54+D55</f>
        <v>14972.912689060002</v>
      </c>
      <c r="E49" s="281"/>
      <c r="F49" s="281">
        <f>F50+F51+F52+F53+F54+F55</f>
        <v>14987.900574559999</v>
      </c>
      <c r="G49" s="222"/>
      <c r="H49" s="222"/>
      <c r="I49" s="246"/>
    </row>
    <row r="50" spans="1:16" s="247" customFormat="1" ht="18.5">
      <c r="A50" s="282" t="s">
        <v>59</v>
      </c>
      <c r="B50" s="283" t="s">
        <v>70</v>
      </c>
      <c r="C50" s="239">
        <v>1.31747616</v>
      </c>
      <c r="D50" s="239">
        <v>1316.1586838400001</v>
      </c>
      <c r="E50" s="239"/>
      <c r="F50" s="239">
        <f>SUM('2023 уточнение'!$C50:$E50)</f>
        <v>1317.4761600000002</v>
      </c>
      <c r="G50" s="222"/>
      <c r="H50" s="222"/>
      <c r="I50" s="246"/>
      <c r="K50" s="246">
        <f>F49-114987.9</f>
        <v>-99999.999425439994</v>
      </c>
    </row>
    <row r="51" spans="1:16" s="247" customFormat="1" ht="18.5">
      <c r="A51" s="282" t="s">
        <v>58</v>
      </c>
      <c r="B51" s="283" t="s">
        <v>70</v>
      </c>
      <c r="C51" s="239">
        <v>2.24775064</v>
      </c>
      <c r="D51" s="239">
        <f>2245.50288936-0.38</f>
        <v>2245.12288936</v>
      </c>
      <c r="E51" s="239"/>
      <c r="F51" s="239">
        <f>SUM('2023 уточнение'!$C51:$E51)</f>
        <v>2247.3706400000001</v>
      </c>
      <c r="G51" s="222"/>
      <c r="H51" s="222"/>
      <c r="I51" s="246"/>
    </row>
    <row r="52" spans="1:16" s="247" customFormat="1" ht="18.5">
      <c r="A52" s="282" t="s">
        <v>57</v>
      </c>
      <c r="B52" s="283" t="s">
        <v>70</v>
      </c>
      <c r="C52" s="239">
        <v>10.233409400000001</v>
      </c>
      <c r="D52" s="239">
        <v>10223.175990600001</v>
      </c>
      <c r="E52" s="239"/>
      <c r="F52" s="239">
        <f>SUM('2023 уточнение'!$C52:$E52)</f>
        <v>10233.4094</v>
      </c>
      <c r="G52" s="222"/>
      <c r="H52" s="222"/>
      <c r="I52" s="246"/>
    </row>
    <row r="53" spans="1:16" s="247" customFormat="1" ht="18.5">
      <c r="A53" s="282" t="s">
        <v>69</v>
      </c>
      <c r="B53" s="283" t="s">
        <v>70</v>
      </c>
      <c r="C53" s="239">
        <v>0.31608881</v>
      </c>
      <c r="D53" s="239">
        <v>315.77272119000003</v>
      </c>
      <c r="E53" s="239"/>
      <c r="F53" s="239">
        <f>SUM('2023 уточнение'!$C53:$D53)</f>
        <v>316.08881000000002</v>
      </c>
      <c r="G53" s="222"/>
      <c r="H53" s="222"/>
      <c r="I53" s="246"/>
    </row>
    <row r="54" spans="1:16" s="247" customFormat="1" ht="32.25" customHeight="1">
      <c r="A54" s="282" t="s">
        <v>90</v>
      </c>
      <c r="B54" s="283" t="s">
        <v>70</v>
      </c>
      <c r="C54" s="239">
        <v>0.47808592999999999</v>
      </c>
      <c r="D54" s="239">
        <v>477.60784407</v>
      </c>
      <c r="E54" s="239"/>
      <c r="F54" s="239">
        <f>SUM('2023 уточнение'!$C54:$E54)</f>
        <v>478.08593000000002</v>
      </c>
      <c r="G54" s="222"/>
      <c r="H54" s="222"/>
      <c r="I54" s="246">
        <f>D55+C55</f>
        <v>395.46963456000003</v>
      </c>
      <c r="K54" s="246">
        <f>F49-14987.9</f>
        <v>5.7455999922240153E-4</v>
      </c>
    </row>
    <row r="55" spans="1:16" s="247" customFormat="1" ht="18.5">
      <c r="A55" s="282" t="s">
        <v>91</v>
      </c>
      <c r="B55" s="283" t="s">
        <v>70</v>
      </c>
      <c r="C55" s="239">
        <f>'2023 уточнение'!$D55*0.1%</f>
        <v>0.39507456000000002</v>
      </c>
      <c r="D55" s="239">
        <v>395.07456000000002</v>
      </c>
      <c r="E55" s="239"/>
      <c r="F55" s="239">
        <f>SUM('2023 уточнение'!$C55:$E55)</f>
        <v>395.46963456000003</v>
      </c>
      <c r="G55" s="222">
        <f>'2023 уточнение'!$C55+'2023 уточнение'!$D55</f>
        <v>395.46963456000003</v>
      </c>
      <c r="H55" s="222"/>
      <c r="I55" s="246"/>
    </row>
    <row r="56" spans="1:16" s="223" customFormat="1" ht="18.5">
      <c r="A56" s="286" t="s">
        <v>61</v>
      </c>
      <c r="B56" s="287" t="s">
        <v>70</v>
      </c>
      <c r="C56" s="288">
        <f>C57+C58</f>
        <v>1429.5972655999974</v>
      </c>
      <c r="D56" s="288">
        <f>D57+D58</f>
        <v>34160.8017244</v>
      </c>
      <c r="E56" s="288"/>
      <c r="F56" s="281">
        <f>SUM('2023 уточнение'!$C56:$E56)</f>
        <v>35590.398989999994</v>
      </c>
      <c r="G56" s="222"/>
      <c r="H56" s="222"/>
      <c r="I56" s="224"/>
      <c r="J56" s="224"/>
    </row>
    <row r="57" spans="1:16" s="223" customFormat="1" ht="18.5">
      <c r="A57" s="289" t="s">
        <v>56</v>
      </c>
      <c r="B57" s="283" t="s">
        <v>70</v>
      </c>
      <c r="C57" s="239">
        <v>352.40998560000003</v>
      </c>
      <c r="D57" s="239">
        <f>8457.8396544+6.13-0.0001</f>
        <v>8463.9695544000006</v>
      </c>
      <c r="E57" s="239"/>
      <c r="F57" s="221">
        <f>SUM('2023 уточнение'!$C57:$E57)</f>
        <v>8816.3795399999999</v>
      </c>
      <c r="G57" s="222"/>
      <c r="H57" s="222"/>
      <c r="I57" s="224"/>
    </row>
    <row r="58" spans="1:16" s="223" customFormat="1" ht="36.5">
      <c r="A58" s="289" t="s">
        <v>68</v>
      </c>
      <c r="B58" s="283" t="s">
        <v>70</v>
      </c>
      <c r="C58" s="239">
        <v>1077.1872799999974</v>
      </c>
      <c r="D58" s="239">
        <v>25696.832170000001</v>
      </c>
      <c r="E58" s="239"/>
      <c r="F58" s="221">
        <f>SUM('2023 уточнение'!$C58:$E58)</f>
        <v>26774.01945</v>
      </c>
      <c r="G58" s="222"/>
      <c r="H58" s="222"/>
      <c r="I58" s="224">
        <f>F57+'2023 уточнение'!$F58</f>
        <v>35590.398990000002</v>
      </c>
    </row>
    <row r="59" spans="1:16" s="223" customFormat="1" ht="18.5">
      <c r="A59" s="290" t="s">
        <v>53</v>
      </c>
      <c r="B59" s="291"/>
      <c r="C59" s="292">
        <f>C57+C58+C49+C46+C38+C37</f>
        <v>29257.209208099997</v>
      </c>
      <c r="D59" s="292">
        <f>D57+D58+D49+D46+D38+D37</f>
        <v>73359.368621460002</v>
      </c>
      <c r="E59" s="292">
        <f>SUBTOTAL(109,E37:E58)</f>
        <v>0</v>
      </c>
      <c r="F59" s="292" t="s">
        <v>110</v>
      </c>
      <c r="G59" s="293"/>
      <c r="H59" s="293"/>
      <c r="I59" s="224">
        <f>102</f>
        <v>102</v>
      </c>
    </row>
    <row r="60" spans="1:16" s="223" customFormat="1" ht="18.5">
      <c r="A60" s="365" t="s">
        <v>49</v>
      </c>
      <c r="B60" s="365"/>
      <c r="C60" s="365"/>
      <c r="D60" s="365"/>
      <c r="E60" s="294"/>
      <c r="F60" s="274"/>
      <c r="H60" s="224"/>
      <c r="I60" s="224"/>
    </row>
    <row r="61" spans="1:16" s="223" customFormat="1" ht="18.5">
      <c r="A61" s="295" t="s">
        <v>0</v>
      </c>
      <c r="B61" s="296" t="s">
        <v>63</v>
      </c>
      <c r="C61" s="217" t="s">
        <v>2</v>
      </c>
      <c r="D61" s="217" t="s">
        <v>1</v>
      </c>
      <c r="E61" s="217" t="s">
        <v>3</v>
      </c>
      <c r="F61" s="217" t="s">
        <v>55</v>
      </c>
      <c r="G61" s="297" t="s">
        <v>106</v>
      </c>
      <c r="H61" s="224"/>
      <c r="I61" s="224"/>
      <c r="K61" s="224">
        <f>F58+F57</f>
        <v>35590.398990000002</v>
      </c>
      <c r="L61" s="224">
        <f>35590.4-K61</f>
        <v>1.0099999999511056E-3</v>
      </c>
    </row>
    <row r="62" spans="1:16" s="303" customFormat="1" ht="18.5">
      <c r="A62" s="298" t="s">
        <v>54</v>
      </c>
      <c r="B62" s="299" t="s">
        <v>71</v>
      </c>
      <c r="C62" s="300">
        <f>21923883.18/1000</f>
        <v>21923.883180000001</v>
      </c>
      <c r="D62" s="300"/>
      <c r="E62" s="300"/>
      <c r="F62" s="300">
        <f>'2023 уточнение'!$C62+'2023 уточнение'!$D62+'2023 уточнение'!$E62</f>
        <v>21923.883180000001</v>
      </c>
      <c r="G62" s="301" t="e">
        <f>F56+F57+F58+F59+F60+F61+'2023 уточнение'!$D62</f>
        <v>#VALUE!</v>
      </c>
      <c r="H62" s="302"/>
      <c r="I62" s="302">
        <f>F56+F49+F46+F37+F38</f>
        <v>102616.57782955999</v>
      </c>
      <c r="K62" s="302"/>
      <c r="L62" s="302"/>
    </row>
    <row r="63" spans="1:16" s="303" customFormat="1" ht="18.5">
      <c r="A63" s="298" t="s">
        <v>107</v>
      </c>
      <c r="B63" s="299" t="s">
        <v>71</v>
      </c>
      <c r="C63" s="300">
        <f>C64+C66+C68+C69+C73+C74+C75+C76</f>
        <v>6344.0199999999995</v>
      </c>
      <c r="D63" s="300"/>
      <c r="E63" s="300"/>
      <c r="F63" s="300">
        <f>'2023 уточнение'!$C63+'2023 уточнение'!$D63+'2023 уточнение'!$E63</f>
        <v>6344.0199999999995</v>
      </c>
      <c r="G63" s="301" t="e">
        <f>F57+F58+F59+F60+F61+F62+'2023 уточнение'!$D63</f>
        <v>#VALUE!</v>
      </c>
      <c r="H63" s="302"/>
      <c r="I63" s="302"/>
      <c r="K63" s="302"/>
      <c r="L63" s="302"/>
    </row>
    <row r="64" spans="1:16" s="247" customFormat="1" ht="18.5">
      <c r="A64" s="284" t="s">
        <v>75</v>
      </c>
      <c r="B64" s="283" t="s">
        <v>71</v>
      </c>
      <c r="C64" s="239">
        <v>302</v>
      </c>
      <c r="D64" s="239"/>
      <c r="E64" s="239"/>
      <c r="F64" s="239">
        <f>'2023 уточнение'!$C64+'2023 уточнение'!$D64+'2023 уточнение'!$E64</f>
        <v>302</v>
      </c>
      <c r="G64" s="243" t="e">
        <f>F57+F58+F59+F60+F61+F62+'2023 уточнение'!$D64</f>
        <v>#VALUE!</v>
      </c>
      <c r="H64" s="246"/>
      <c r="I64" s="246"/>
      <c r="P64" s="246"/>
    </row>
    <row r="65" spans="1:17" s="247" customFormat="1" ht="18.5" hidden="1">
      <c r="A65" s="284" t="s">
        <v>76</v>
      </c>
      <c r="B65" s="283" t="s">
        <v>71</v>
      </c>
      <c r="C65" s="239"/>
      <c r="D65" s="239"/>
      <c r="E65" s="239"/>
      <c r="F65" s="239">
        <f>'2023 уточнение'!$C65+'2023 уточнение'!$D65+'2023 уточнение'!$E65</f>
        <v>0</v>
      </c>
      <c r="G65" s="243" t="e">
        <f>F58+F59+F60+F61+F62+F64+'2023 уточнение'!$D65</f>
        <v>#VALUE!</v>
      </c>
      <c r="H65" s="246"/>
      <c r="I65" s="246"/>
    </row>
    <row r="66" spans="1:17" s="247" customFormat="1" ht="18.5">
      <c r="A66" s="284" t="s">
        <v>77</v>
      </c>
      <c r="B66" s="283" t="s">
        <v>71</v>
      </c>
      <c r="C66" s="239">
        <v>598.72</v>
      </c>
      <c r="D66" s="239"/>
      <c r="E66" s="239"/>
      <c r="F66" s="239">
        <f>'2023 уточнение'!$C66+'2023 уточнение'!$D66+'2023 уточнение'!$E66</f>
        <v>598.72</v>
      </c>
      <c r="G66" s="243" t="e">
        <f>F59+F60+F61+F62+F64+F65+'2023 уточнение'!$D66</f>
        <v>#VALUE!</v>
      </c>
      <c r="H66" s="246">
        <v>102616.57782956</v>
      </c>
      <c r="I66" s="246"/>
    </row>
    <row r="67" spans="1:17" s="247" customFormat="1" ht="18.5" hidden="1">
      <c r="A67" s="284" t="s">
        <v>126</v>
      </c>
      <c r="B67" s="283" t="s">
        <v>71</v>
      </c>
      <c r="C67" s="239"/>
      <c r="D67" s="239"/>
      <c r="E67" s="239"/>
      <c r="F67" s="239">
        <f>'2023 уточнение'!$C67+'2023 уточнение'!$D67+'2023 уточнение'!$E67</f>
        <v>0</v>
      </c>
      <c r="G67" s="243" t="e">
        <f>F61+F62+F64+F65+F66+#REF!+'2023 уточнение'!$D67</f>
        <v>#VALUE!</v>
      </c>
      <c r="H67" s="246"/>
      <c r="I67" s="246"/>
    </row>
    <row r="68" spans="1:17" s="247" customFormat="1" ht="18.5">
      <c r="A68" s="284" t="s">
        <v>79</v>
      </c>
      <c r="B68" s="283" t="s">
        <v>71</v>
      </c>
      <c r="C68" s="239">
        <f>187.65+599.9+400+595.9+599.9+560+0.3</f>
        <v>2943.65</v>
      </c>
      <c r="D68" s="239"/>
      <c r="E68" s="239"/>
      <c r="F68" s="239">
        <f>'2023 уточнение'!$C68+'2023 уточнение'!$D68+'2023 уточнение'!$E68</f>
        <v>2943.65</v>
      </c>
      <c r="G68" s="243" t="e">
        <f>F62+F64+F65+F66+#REF!+F67+'2023 уточнение'!$D68</f>
        <v>#REF!</v>
      </c>
      <c r="H68" s="246"/>
      <c r="I68" s="246"/>
    </row>
    <row r="69" spans="1:17" s="247" customFormat="1" ht="18.5">
      <c r="A69" s="284" t="s">
        <v>153</v>
      </c>
      <c r="B69" s="304" t="s">
        <v>71</v>
      </c>
      <c r="C69" s="239">
        <v>503.52</v>
      </c>
      <c r="D69" s="239"/>
      <c r="E69" s="239"/>
      <c r="F69" s="239">
        <f>'2023 уточнение'!$C69+'2023 уточнение'!$D69+'2023 уточнение'!$E69</f>
        <v>503.52</v>
      </c>
      <c r="G69" s="243" t="e">
        <f>F62+F64+F65+F66+#REF!+F67+'2023 уточнение'!$D69</f>
        <v>#REF!</v>
      </c>
      <c r="H69" s="246" t="e">
        <f>'2023 уточнение'!$C69+C62+C64+C65+C66+#REF!+C67+C70+C77</f>
        <v>#REF!</v>
      </c>
      <c r="I69" s="246"/>
      <c r="P69" s="246"/>
      <c r="Q69" s="246"/>
    </row>
    <row r="70" spans="1:17" s="247" customFormat="1" ht="18.5" hidden="1">
      <c r="A70" s="284"/>
      <c r="B70" s="304" t="s">
        <v>72</v>
      </c>
      <c r="C70" s="239"/>
      <c r="D70" s="239"/>
      <c r="E70" s="239"/>
      <c r="F70" s="239">
        <f>'2023 уточнение'!$C70+'2023 уточнение'!$D70+'2023 уточнение'!$E70</f>
        <v>0</v>
      </c>
      <c r="G70" s="243" t="e">
        <f>F64+F65+F66+#REF!+F67+F69+'2023 уточнение'!$D70</f>
        <v>#REF!</v>
      </c>
      <c r="H70" s="246"/>
      <c r="I70" s="246"/>
    </row>
    <row r="71" spans="1:17" s="247" customFormat="1" ht="18.5" hidden="1">
      <c r="A71" s="284" t="s">
        <v>131</v>
      </c>
      <c r="B71" s="304" t="s">
        <v>73</v>
      </c>
      <c r="C71" s="239"/>
      <c r="D71" s="239"/>
      <c r="E71" s="239"/>
      <c r="F71" s="239">
        <f>'2023 уточнение'!$C71+'2023 уточнение'!$D71+'2023 уточнение'!$E71</f>
        <v>0</v>
      </c>
      <c r="G71" s="243" t="e">
        <f>F66+#REF!+F67+F68+F69+F70+'2023 уточнение'!$D71</f>
        <v>#REF!</v>
      </c>
      <c r="H71" s="246"/>
      <c r="I71" s="246"/>
    </row>
    <row r="72" spans="1:17" s="247" customFormat="1" ht="15.75" hidden="1" customHeight="1">
      <c r="A72" s="305"/>
      <c r="B72" s="304" t="s">
        <v>74</v>
      </c>
      <c r="C72" s="306"/>
      <c r="D72" s="239"/>
      <c r="E72" s="239"/>
      <c r="F72" s="239"/>
      <c r="G72" s="243"/>
      <c r="H72" s="246"/>
      <c r="I72" s="246"/>
    </row>
    <row r="73" spans="1:17" s="247" customFormat="1" ht="15.75" customHeight="1">
      <c r="A73" s="284" t="s">
        <v>154</v>
      </c>
      <c r="B73" s="304" t="s">
        <v>71</v>
      </c>
      <c r="C73" s="239">
        <v>460</v>
      </c>
      <c r="D73" s="239"/>
      <c r="E73" s="239"/>
      <c r="F73" s="239">
        <f>'2023 уточнение'!$C73+'2023 уточнение'!$D73+'2023 уточнение'!$E73</f>
        <v>460</v>
      </c>
      <c r="G73" s="243">
        <f>F67+F68+F69+F70+F71+F72+'2023 уточнение'!$D73</f>
        <v>3447.17</v>
      </c>
      <c r="H73" s="246"/>
      <c r="I73" s="246"/>
    </row>
    <row r="74" spans="1:17" s="247" customFormat="1" ht="15.75" customHeight="1">
      <c r="A74" s="307" t="s">
        <v>159</v>
      </c>
      <c r="B74" s="308" t="s">
        <v>71</v>
      </c>
      <c r="C74" s="221">
        <v>412</v>
      </c>
      <c r="D74" s="221"/>
      <c r="E74" s="221"/>
      <c r="F74" s="221">
        <f>'2023 уточнение'!$C74+'2023 уточнение'!$D74+'2023 уточнение'!$E74</f>
        <v>412</v>
      </c>
      <c r="G74" s="222">
        <f>F68+F69+F70+F71+F72+F73+'2023 уточнение'!$D74</f>
        <v>3907.17</v>
      </c>
      <c r="H74" s="246"/>
      <c r="I74" s="246"/>
      <c r="P74" s="246"/>
    </row>
    <row r="75" spans="1:17" s="247" customFormat="1" ht="15.75" customHeight="1">
      <c r="A75" s="307" t="s">
        <v>76</v>
      </c>
      <c r="B75" s="308" t="s">
        <v>71</v>
      </c>
      <c r="C75" s="221">
        <v>450</v>
      </c>
      <c r="D75" s="221"/>
      <c r="E75" s="221"/>
      <c r="F75" s="221">
        <f>'2023 уточнение'!$C75+'2023 уточнение'!$D75+'2023 уточнение'!$E75</f>
        <v>450</v>
      </c>
      <c r="G75" s="222">
        <f>F69+F70+F71+F72+F73+F74+'2023 уточнение'!$D75</f>
        <v>1375.52</v>
      </c>
      <c r="H75" s="246"/>
      <c r="I75" s="246"/>
      <c r="P75" s="246"/>
    </row>
    <row r="76" spans="1:17" s="247" customFormat="1" ht="15.75" customHeight="1">
      <c r="A76" s="307" t="s">
        <v>160</v>
      </c>
      <c r="B76" s="308" t="s">
        <v>71</v>
      </c>
      <c r="C76" s="221">
        <v>674.13</v>
      </c>
      <c r="D76" s="221"/>
      <c r="E76" s="221"/>
      <c r="F76" s="221">
        <f>'2023 уточнение'!$C76+'2023 уточнение'!$D76+'2023 уточнение'!$E76</f>
        <v>674.13</v>
      </c>
      <c r="G76" s="222">
        <f>F69+F70+F71+F72+F73+F74+'2023 уточнение'!$D76</f>
        <v>1375.52</v>
      </c>
      <c r="H76" s="246"/>
      <c r="I76" s="246"/>
      <c r="P76" s="246"/>
    </row>
    <row r="77" spans="1:17" s="303" customFormat="1" ht="18.5">
      <c r="A77" s="298" t="s">
        <v>132</v>
      </c>
      <c r="B77" s="299"/>
      <c r="C77" s="300">
        <f>C79+C80+C81+C82+C83+C84+C85+C86</f>
        <v>1671.6611999999986</v>
      </c>
      <c r="D77" s="300">
        <f>D79+D80+D81+D82+D83+D84+D85+D86</f>
        <v>28990.738800000003</v>
      </c>
      <c r="E77" s="300"/>
      <c r="F77" s="300">
        <f>F79+F80+F81+F82+F83+F84+F85+F86</f>
        <v>30662.390000000007</v>
      </c>
      <c r="G77" s="301" t="e">
        <f>F65+F66+#REF!+F67+F69+F70+'2023 уточнение'!$D77</f>
        <v>#REF!</v>
      </c>
      <c r="H77" s="302">
        <f>SUM(F62:F77)</f>
        <v>65274.313180000012</v>
      </c>
      <c r="I77" s="302">
        <f>H77-F69</f>
        <v>64770.793180000015</v>
      </c>
    </row>
    <row r="78" spans="1:17" s="223" customFormat="1" ht="18.5">
      <c r="A78" s="307"/>
      <c r="B78" s="308"/>
      <c r="C78" s="221"/>
      <c r="D78" s="221"/>
      <c r="E78" s="221"/>
      <c r="F78" s="221">
        <f>'2023 уточнение'!$C78+'2023 уточнение'!$D78+'2023 уточнение'!$E78</f>
        <v>0</v>
      </c>
      <c r="G78" s="222" t="e">
        <f>F66+#REF!+F67+F69+F70+F77+'2023 уточнение'!$D78</f>
        <v>#REF!</v>
      </c>
      <c r="H78" s="224"/>
      <c r="I78" s="224"/>
    </row>
    <row r="79" spans="1:17" s="314" customFormat="1" ht="36">
      <c r="A79" s="309" t="s">
        <v>135</v>
      </c>
      <c r="B79" s="310" t="s">
        <v>71</v>
      </c>
      <c r="C79" s="311">
        <v>638.76999999999805</v>
      </c>
      <c r="D79" s="311">
        <v>15330.37</v>
      </c>
      <c r="E79" s="311"/>
      <c r="F79" s="311">
        <f>'2023 уточнение'!$D79+'2023 уточнение'!$C79</f>
        <v>15969.14</v>
      </c>
      <c r="G79" s="312">
        <f>F67+F69+F70+F72+F77+F78+'2023 уточнение'!$D79</f>
        <v>46496.280000000006</v>
      </c>
      <c r="H79" s="313"/>
      <c r="I79" s="313"/>
      <c r="P79" s="315"/>
      <c r="Q79" s="315"/>
    </row>
    <row r="80" spans="1:17" s="314" customFormat="1" ht="18.5">
      <c r="A80" s="309" t="s">
        <v>127</v>
      </c>
      <c r="B80" s="316" t="s">
        <v>71</v>
      </c>
      <c r="C80" s="311">
        <v>55.589999999999918</v>
      </c>
      <c r="D80" s="311">
        <v>1334.4</v>
      </c>
      <c r="E80" s="311"/>
      <c r="F80" s="311">
        <v>1389.99</v>
      </c>
      <c r="G80" s="312">
        <f>F67+F69+F70+F72+F77+F78+'2023 уточнение'!$D80</f>
        <v>32500.310000000009</v>
      </c>
      <c r="H80" s="313"/>
      <c r="I80" s="313"/>
      <c r="J80" s="314">
        <f>16500</f>
        <v>16500</v>
      </c>
      <c r="K80" s="314">
        <f>15969134.13-15330368.76</f>
        <v>638765.37000000104</v>
      </c>
      <c r="M80" s="314">
        <f>16500*4%</f>
        <v>660</v>
      </c>
      <c r="P80" s="315"/>
      <c r="Q80" s="315"/>
    </row>
    <row r="81" spans="1:19" s="314" customFormat="1" ht="18.5">
      <c r="A81" s="309" t="s">
        <v>128</v>
      </c>
      <c r="B81" s="316" t="s">
        <v>71</v>
      </c>
      <c r="C81" s="311">
        <v>72.32120000000009</v>
      </c>
      <c r="D81" s="311">
        <f>'2023 уточнение'!$F81*96%</f>
        <v>1735.7087999999999</v>
      </c>
      <c r="E81" s="311"/>
      <c r="F81" s="311">
        <v>1808.03</v>
      </c>
      <c r="G81" s="312">
        <f>F69+F70+F72+F77+F78+F80+'2023 уточнение'!$D81</f>
        <v>34291.608800000009</v>
      </c>
      <c r="H81" s="313"/>
      <c r="I81" s="313"/>
      <c r="P81" s="315"/>
      <c r="Q81" s="315"/>
    </row>
    <row r="82" spans="1:19" s="314" customFormat="1" ht="18.5">
      <c r="A82" s="309" t="s">
        <v>129</v>
      </c>
      <c r="B82" s="316" t="s">
        <v>71</v>
      </c>
      <c r="C82" s="311">
        <v>60</v>
      </c>
      <c r="D82" s="311">
        <v>1440</v>
      </c>
      <c r="E82" s="311"/>
      <c r="F82" s="311">
        <v>1499.99</v>
      </c>
      <c r="G82" s="312">
        <f>F67+F69+F70+F72+F77+F78+'2023 уточнение'!$D82</f>
        <v>32605.910000000007</v>
      </c>
      <c r="H82" s="313">
        <f>2573.04-D81</f>
        <v>837.33120000000008</v>
      </c>
      <c r="I82" s="313"/>
      <c r="M82" s="314">
        <f>16500-660</f>
        <v>15840</v>
      </c>
      <c r="P82" s="315"/>
      <c r="Q82" s="315"/>
    </row>
    <row r="83" spans="1:19" s="314" customFormat="1" ht="18.5">
      <c r="A83" s="309" t="s">
        <v>130</v>
      </c>
      <c r="B83" s="310" t="s">
        <v>71</v>
      </c>
      <c r="C83" s="311">
        <v>55.990000000000009</v>
      </c>
      <c r="D83" s="311">
        <v>1344</v>
      </c>
      <c r="E83" s="311"/>
      <c r="F83" s="311">
        <v>1399.99</v>
      </c>
      <c r="G83" s="312">
        <f>F77+F78+F79+F80+F81+F82+'2023 уточнение'!$D83</f>
        <v>52673.54</v>
      </c>
      <c r="H83" s="313"/>
      <c r="I83" s="313">
        <f>15969.13-15330.3</f>
        <v>638.82999999999993</v>
      </c>
      <c r="K83" s="314">
        <f>12313.87-12232.87</f>
        <v>81</v>
      </c>
      <c r="P83" s="315"/>
      <c r="Q83" s="315"/>
    </row>
    <row r="84" spans="1:19" s="314" customFormat="1" ht="18.5">
      <c r="A84" s="309" t="s">
        <v>78</v>
      </c>
      <c r="B84" s="317" t="s">
        <v>71</v>
      </c>
      <c r="C84" s="311">
        <v>500.75</v>
      </c>
      <c r="D84" s="311">
        <v>889.24</v>
      </c>
      <c r="E84" s="311"/>
      <c r="F84" s="311">
        <v>1389.99</v>
      </c>
      <c r="G84" s="312">
        <f>F69+F70+F72+F77+F78+F82+'2023 уточнение'!$D84</f>
        <v>33555.140000000007</v>
      </c>
      <c r="H84" s="313"/>
      <c r="I84" s="313"/>
      <c r="P84" s="315"/>
      <c r="Q84" s="315"/>
    </row>
    <row r="85" spans="1:19" s="314" customFormat="1" ht="36">
      <c r="A85" s="309" t="s">
        <v>133</v>
      </c>
      <c r="B85" s="316" t="s">
        <v>71</v>
      </c>
      <c r="C85" s="311">
        <v>236.20000000000073</v>
      </c>
      <c r="D85" s="311">
        <v>5667.73</v>
      </c>
      <c r="E85" s="311"/>
      <c r="F85" s="311">
        <v>5903.93</v>
      </c>
      <c r="G85" s="312">
        <f>F79+F80+F81+F82+F83+F84+'2023 уточнение'!$D85</f>
        <v>29124.860000000004</v>
      </c>
      <c r="H85" s="313"/>
      <c r="I85" s="313"/>
      <c r="P85" s="315"/>
      <c r="Q85" s="315"/>
    </row>
    <row r="86" spans="1:19" s="314" customFormat="1" ht="36">
      <c r="A86" s="309" t="s">
        <v>141</v>
      </c>
      <c r="B86" s="316" t="s">
        <v>71</v>
      </c>
      <c r="C86" s="311">
        <v>52.039999999999964</v>
      </c>
      <c r="D86" s="311">
        <v>1249.29</v>
      </c>
      <c r="E86" s="311"/>
      <c r="F86" s="311">
        <v>1301.33</v>
      </c>
      <c r="G86" s="312">
        <f>F80+F81+F82+F83+F84+F85+'2023 уточнение'!$D86</f>
        <v>14641.21</v>
      </c>
      <c r="H86" s="313"/>
      <c r="I86" s="313"/>
      <c r="P86" s="315"/>
      <c r="Q86" s="315"/>
    </row>
    <row r="87" spans="1:19" s="223" customFormat="1" ht="18.5">
      <c r="A87" s="318" t="s">
        <v>61</v>
      </c>
      <c r="B87" s="319"/>
      <c r="C87" s="320"/>
      <c r="D87" s="320"/>
      <c r="E87" s="320"/>
      <c r="F87" s="320"/>
      <c r="G87" s="222" t="e">
        <f>#REF!+F67+F69+F70+F77+F78+'2023 уточнение'!$D87</f>
        <v>#REF!</v>
      </c>
      <c r="H87" s="224"/>
      <c r="I87" s="224"/>
    </row>
    <row r="88" spans="1:19" s="233" customFormat="1" ht="35">
      <c r="A88" s="321" t="s">
        <v>136</v>
      </c>
      <c r="B88" s="322" t="s">
        <v>71</v>
      </c>
      <c r="C88" s="285">
        <v>1484.4026395000001</v>
      </c>
      <c r="D88" s="285">
        <v>28203.650150499998</v>
      </c>
      <c r="E88" s="285"/>
      <c r="F88" s="285">
        <f>'2023 уточнение'!$C88+'2023 уточнение'!$D88</f>
        <v>29688.052789999998</v>
      </c>
      <c r="G88" s="297">
        <f>F67+F69+F70+F77+F78+F87+'2023 уточнение'!$D88</f>
        <v>59369.560150500009</v>
      </c>
      <c r="H88" s="232"/>
      <c r="I88" s="232" t="e">
        <f>F62+F64+F65+F66+#REF!+F67+C69+F70+F72+F77</f>
        <v>#REF!</v>
      </c>
      <c r="K88" s="232"/>
      <c r="M88" s="233">
        <f>2000-80</f>
        <v>1920</v>
      </c>
      <c r="Q88" s="232"/>
    </row>
    <row r="89" spans="1:19" s="223" customFormat="1" ht="36">
      <c r="A89" s="323" t="s">
        <v>81</v>
      </c>
      <c r="B89" s="220" t="s">
        <v>71</v>
      </c>
      <c r="C89" s="221">
        <v>535.013867</v>
      </c>
      <c r="D89" s="253">
        <v>10165.263472999999</v>
      </c>
      <c r="E89" s="221"/>
      <c r="F89" s="285">
        <f>'2023 уточнение'!$C89+'2023 уточнение'!$D89</f>
        <v>10700.277339999999</v>
      </c>
      <c r="G89" s="222">
        <f>F69+F70+F77+F78+F87+F88+'2023 уточнение'!$D89</f>
        <v>71019.226263000004</v>
      </c>
      <c r="H89" s="224"/>
      <c r="I89" s="224"/>
      <c r="K89" s="224">
        <f>C62+C63</f>
        <v>28267.903180000001</v>
      </c>
      <c r="N89" s="223">
        <f>2000*4%</f>
        <v>80</v>
      </c>
      <c r="P89" s="233"/>
      <c r="Q89" s="232"/>
      <c r="S89" s="233"/>
    </row>
    <row r="90" spans="1:19" s="223" customFormat="1" ht="36">
      <c r="A90" s="324" t="s">
        <v>137</v>
      </c>
      <c r="B90" s="220" t="s">
        <v>71</v>
      </c>
      <c r="C90" s="221">
        <v>592.79112699999996</v>
      </c>
      <c r="D90" s="253">
        <v>11263.031412999999</v>
      </c>
      <c r="E90" s="221"/>
      <c r="F90" s="285">
        <f>'2023 уточнение'!$C90+'2023 уточнение'!$D90</f>
        <v>11855.822539999999</v>
      </c>
      <c r="G90" s="222">
        <f>F70+F77+F78+F87+F88+F89+'2023 уточнение'!$D90</f>
        <v>82313.751543000006</v>
      </c>
      <c r="H90" s="224"/>
      <c r="I90" s="224"/>
      <c r="K90" s="224">
        <f>29939.56-C63-C62</f>
        <v>1671.6568200000002</v>
      </c>
      <c r="P90" s="233"/>
      <c r="Q90" s="232"/>
      <c r="R90" s="224"/>
      <c r="S90" s="233"/>
    </row>
    <row r="91" spans="1:19" s="223" customFormat="1" ht="36">
      <c r="A91" s="323" t="s">
        <v>138</v>
      </c>
      <c r="B91" s="220" t="s">
        <v>71</v>
      </c>
      <c r="C91" s="221">
        <v>532.09612400000003</v>
      </c>
      <c r="D91" s="253">
        <v>10109.826356000001</v>
      </c>
      <c r="E91" s="221"/>
      <c r="F91" s="285">
        <f>'2023 уточнение'!$C91+'2023 уточнение'!$D91</f>
        <v>10641.922480000001</v>
      </c>
      <c r="G91" s="222">
        <f>F77+F78+F87+F88+F89+F90+'2023 уточнение'!$D91</f>
        <v>93016.369026</v>
      </c>
      <c r="H91" s="224"/>
      <c r="I91" s="224"/>
      <c r="P91" s="233"/>
      <c r="Q91" s="232"/>
      <c r="S91" s="233"/>
    </row>
    <row r="92" spans="1:19" s="223" customFormat="1" ht="36">
      <c r="A92" s="325" t="s">
        <v>139</v>
      </c>
      <c r="B92" s="220" t="s">
        <v>71</v>
      </c>
      <c r="C92" s="221">
        <v>603.89191799999992</v>
      </c>
      <c r="D92" s="326">
        <v>11473.946442</v>
      </c>
      <c r="E92" s="221"/>
      <c r="F92" s="285">
        <f>'2023 уточнение'!$C92+'2023 уточнение'!$D92</f>
        <v>12077.83836</v>
      </c>
      <c r="G92" s="222">
        <f>F78+F87+F88+F89+F90+F91+'2023 уточнение'!$D92</f>
        <v>74360.021592000005</v>
      </c>
      <c r="H92" s="224">
        <v>16149.2665</v>
      </c>
      <c r="I92" s="224"/>
      <c r="P92" s="233"/>
      <c r="Q92" s="232"/>
      <c r="S92" s="233"/>
    </row>
    <row r="93" spans="1:19" s="233" customFormat="1" ht="23.25" customHeight="1">
      <c r="A93" s="327" t="s">
        <v>56</v>
      </c>
      <c r="B93" s="296" t="s">
        <v>71</v>
      </c>
      <c r="C93" s="217">
        <v>1027.5577595</v>
      </c>
      <c r="D93" s="218">
        <v>19523.597430499998</v>
      </c>
      <c r="E93" s="217"/>
      <c r="F93" s="285">
        <f>'2023 уточнение'!$C93+'2023 уточнение'!$D93</f>
        <v>20551.155189999998</v>
      </c>
      <c r="G93" s="297">
        <f>F87+F88+F89+F90+F91+F92+'2023 уточнение'!$D93</f>
        <v>94487.510940499997</v>
      </c>
      <c r="H93" s="232">
        <v>13302.202000000001</v>
      </c>
      <c r="I93" s="232"/>
      <c r="L93" s="233">
        <v>16149.2665</v>
      </c>
      <c r="Q93" s="232"/>
    </row>
    <row r="94" spans="1:19" s="223" customFormat="1" ht="36">
      <c r="A94" s="325" t="s">
        <v>122</v>
      </c>
      <c r="B94" s="220" t="s">
        <v>71</v>
      </c>
      <c r="C94" s="221">
        <v>501.31343650000008</v>
      </c>
      <c r="D94" s="253">
        <v>9524.9552935000011</v>
      </c>
      <c r="E94" s="221"/>
      <c r="F94" s="285">
        <f>'2023 уточнение'!$C94+'2023 уточнение'!$D94</f>
        <v>10026.268730000002</v>
      </c>
      <c r="G94" s="222">
        <f>F88+F89+F90+F91+F92+F93+'2023 уточнение'!$D94</f>
        <v>105040.0239935</v>
      </c>
      <c r="H94" s="224">
        <v>16150</v>
      </c>
      <c r="I94" s="224"/>
      <c r="L94" s="223">
        <v>13302.202000000001</v>
      </c>
      <c r="P94" s="233"/>
      <c r="Q94" s="232"/>
      <c r="S94" s="233"/>
    </row>
    <row r="95" spans="1:19" s="223" customFormat="1" ht="18.5">
      <c r="A95" s="328" t="s">
        <v>123</v>
      </c>
      <c r="B95" s="220" t="s">
        <v>71</v>
      </c>
      <c r="C95" s="221">
        <v>632.95355250000011</v>
      </c>
      <c r="D95" s="253">
        <v>12026.117497500001</v>
      </c>
      <c r="E95" s="221"/>
      <c r="F95" s="285">
        <f>'2023 уточнение'!$C95+'2023 уточнение'!$D95</f>
        <v>12659.071050000002</v>
      </c>
      <c r="G95" s="222">
        <f>F89+F90+F91+F92+F93+F94+'2023 уточнение'!$D95</f>
        <v>87879.402137500001</v>
      </c>
      <c r="H95" s="224">
        <v>8892</v>
      </c>
      <c r="I95" s="224"/>
      <c r="L95" s="223">
        <v>16150</v>
      </c>
      <c r="P95" s="233"/>
      <c r="Q95" s="232"/>
      <c r="S95" s="233"/>
    </row>
    <row r="96" spans="1:19" s="223" customFormat="1" ht="36">
      <c r="A96" s="329" t="s">
        <v>121</v>
      </c>
      <c r="B96" s="308" t="s">
        <v>71</v>
      </c>
      <c r="C96" s="221">
        <v>519.75814800000001</v>
      </c>
      <c r="D96" s="221">
        <v>9875.4048120000007</v>
      </c>
      <c r="E96" s="221"/>
      <c r="F96" s="285">
        <f>'2023 уточнение'!$C96+'2023 уточнение'!$D96</f>
        <v>10395.162960000001</v>
      </c>
      <c r="G96" s="222">
        <f>F90+F91+F92+F93+F94+F95+'2023 уточнение'!$D96</f>
        <v>87687.483162000019</v>
      </c>
      <c r="H96" s="224"/>
      <c r="I96" s="224"/>
      <c r="P96" s="233"/>
      <c r="Q96" s="232"/>
      <c r="S96" s="233"/>
    </row>
    <row r="97" spans="1:19" s="223" customFormat="1" ht="36">
      <c r="A97" s="329" t="s">
        <v>120</v>
      </c>
      <c r="B97" s="308" t="s">
        <v>71</v>
      </c>
      <c r="C97" s="221">
        <v>196.27533550000001</v>
      </c>
      <c r="D97" s="221">
        <v>3729.2313745000001</v>
      </c>
      <c r="E97" s="221"/>
      <c r="F97" s="285">
        <f>'2023 уточнение'!$C97+'2023 уточнение'!$D97</f>
        <v>3925.5067100000001</v>
      </c>
      <c r="G97" s="222">
        <f>F90+F91+F92+F93+F94+F95+'2023 уточнение'!$D97</f>
        <v>81541.30972450001</v>
      </c>
      <c r="H97" s="224"/>
      <c r="I97" s="224"/>
      <c r="P97" s="233"/>
      <c r="Q97" s="232"/>
      <c r="S97" s="233"/>
    </row>
    <row r="98" spans="1:19" s="223" customFormat="1" ht="18.5">
      <c r="A98" s="330" t="s">
        <v>53</v>
      </c>
      <c r="B98" s="267"/>
      <c r="C98" s="221">
        <f>C97+C96+C95+C94+C93+C92+C91+C90+C89+C77+C63+C62+C88</f>
        <v>36565.618287499994</v>
      </c>
      <c r="D98" s="221">
        <f>D88+D89+D90+D91+D92+D93+D94+D95+D96+D97+D69+D77</f>
        <v>154885.76304249998</v>
      </c>
      <c r="E98" s="221">
        <f>SUBTOTAL(109,E62:E97)</f>
        <v>0</v>
      </c>
      <c r="F98" s="253">
        <f>F88+F89+F90+F91+F92+F93+F94+F95+F96+F97+F77+F62+F63</f>
        <v>191451.37132999999</v>
      </c>
      <c r="G98" s="331"/>
      <c r="H98" s="224">
        <v>16150</v>
      </c>
      <c r="I98" s="224"/>
      <c r="L98" s="223">
        <v>8892</v>
      </c>
    </row>
    <row r="99" spans="1:19" s="223" customFormat="1" ht="18.5">
      <c r="A99" s="366" t="s">
        <v>50</v>
      </c>
      <c r="B99" s="367"/>
      <c r="C99" s="367"/>
      <c r="D99" s="367"/>
      <c r="E99" s="332"/>
      <c r="F99" s="274"/>
      <c r="H99" s="224">
        <v>16581.3</v>
      </c>
      <c r="I99" s="224"/>
      <c r="L99" s="223">
        <v>16150</v>
      </c>
    </row>
    <row r="100" spans="1:19" s="223" customFormat="1" ht="18.5">
      <c r="A100" s="333" t="s">
        <v>0</v>
      </c>
      <c r="B100" s="296" t="s">
        <v>63</v>
      </c>
      <c r="C100" s="217" t="s">
        <v>2</v>
      </c>
      <c r="D100" s="217" t="s">
        <v>1</v>
      </c>
      <c r="E100" s="217" t="s">
        <v>3</v>
      </c>
      <c r="F100" s="217" t="s">
        <v>55</v>
      </c>
      <c r="G100" s="297" t="s">
        <v>106</v>
      </c>
      <c r="H100" s="297" t="s">
        <v>119</v>
      </c>
      <c r="I100" s="297" t="s">
        <v>113</v>
      </c>
      <c r="J100" s="297" t="s">
        <v>118</v>
      </c>
      <c r="L100" s="223">
        <v>16581.3</v>
      </c>
    </row>
    <row r="101" spans="1:19" s="223" customFormat="1" ht="18.5">
      <c r="A101" s="226" t="s">
        <v>87</v>
      </c>
      <c r="B101" s="220" t="s">
        <v>72</v>
      </c>
      <c r="C101" s="221">
        <v>250000</v>
      </c>
      <c r="D101" s="217"/>
      <c r="E101" s="217"/>
      <c r="F101" s="221">
        <f>'2023 уточнение'!$C101+'2023 уточнение'!$D101+'2023 уточнение'!$E101</f>
        <v>250000</v>
      </c>
      <c r="G101" s="222">
        <f>'2023 уточнение'!$F101*5%</f>
        <v>12500</v>
      </c>
      <c r="H101" s="222">
        <f>'2023 уточнение'!$C101+'2023 уточнение'!$D101</f>
        <v>250000</v>
      </c>
      <c r="I101" s="222"/>
      <c r="J101" s="222">
        <f>F103*5%</f>
        <v>36750</v>
      </c>
      <c r="K101" s="223">
        <f>F111*5%</f>
        <v>974552.92799999996</v>
      </c>
      <c r="L101" s="223">
        <v>5684.0019999999995</v>
      </c>
    </row>
    <row r="102" spans="1:19" s="223" customFormat="1" ht="18.5">
      <c r="A102" s="226" t="s">
        <v>76</v>
      </c>
      <c r="B102" s="220" t="s">
        <v>72</v>
      </c>
      <c r="C102" s="221">
        <v>195775</v>
      </c>
      <c r="D102" s="221"/>
      <c r="E102" s="221"/>
      <c r="F102" s="221">
        <f>'2023 уточнение'!$C102+'2023 уточнение'!$D102+'2023 уточнение'!$E102</f>
        <v>195775</v>
      </c>
      <c r="G102" s="222">
        <f>'2023 уточнение'!$F102*5%</f>
        <v>9788.75</v>
      </c>
      <c r="H102" s="222">
        <f>'2023 уточнение'!$C102+'2023 уточнение'!$D102</f>
        <v>195775</v>
      </c>
      <c r="I102" s="222"/>
      <c r="J102" s="222">
        <f>F105*5%</f>
        <v>208914.75750000004</v>
      </c>
    </row>
    <row r="103" spans="1:19" s="223" customFormat="1" ht="18.5">
      <c r="A103" s="226" t="s">
        <v>162</v>
      </c>
      <c r="B103" s="220" t="s">
        <v>72</v>
      </c>
      <c r="C103" s="221">
        <v>735000</v>
      </c>
      <c r="D103" s="217"/>
      <c r="E103" s="217"/>
      <c r="F103" s="221">
        <f>'2023 уточнение'!$C103+'2023 уточнение'!$D103+'2023 уточнение'!$E103</f>
        <v>735000</v>
      </c>
      <c r="G103" s="222"/>
      <c r="H103" s="222">
        <f>'2023 уточнение'!$C103+'2023 уточнение'!$D103</f>
        <v>735000</v>
      </c>
      <c r="I103" s="222"/>
      <c r="J103" s="222">
        <f>F105*5%</f>
        <v>208914.75750000004</v>
      </c>
    </row>
    <row r="104" spans="1:19" s="223" customFormat="1" ht="18.5">
      <c r="A104" s="226" t="s">
        <v>163</v>
      </c>
      <c r="B104" s="220" t="s">
        <v>72</v>
      </c>
      <c r="C104" s="221">
        <v>191600</v>
      </c>
      <c r="D104" s="221"/>
      <c r="E104" s="221"/>
      <c r="F104" s="221">
        <f>'2023 уточнение'!$C104+'2023 уточнение'!$D104+'2023 уточнение'!$E104</f>
        <v>191600</v>
      </c>
      <c r="G104" s="222">
        <f>'2023 уточнение'!$F104*5%</f>
        <v>9580</v>
      </c>
      <c r="H104" s="222">
        <f>'2023 уточнение'!$C104+'2023 уточнение'!$D104</f>
        <v>191600</v>
      </c>
      <c r="I104" s="222"/>
      <c r="J104" s="222">
        <f>F106*5%</f>
        <v>868330</v>
      </c>
    </row>
    <row r="105" spans="1:19" s="223" customFormat="1" ht="21.75" customHeight="1">
      <c r="A105" s="226" t="s">
        <v>107</v>
      </c>
      <c r="B105" s="220" t="s">
        <v>72</v>
      </c>
      <c r="C105" s="221">
        <f>5288295.15-1110000</f>
        <v>4178295.1500000004</v>
      </c>
      <c r="D105" s="221"/>
      <c r="E105" s="221"/>
      <c r="F105" s="221">
        <f>'2023 уточнение'!$C105+'2023 уточнение'!$D105+'2023 уточнение'!$E105</f>
        <v>4178295.1500000004</v>
      </c>
      <c r="G105" s="222"/>
      <c r="H105" s="222">
        <f>'2023 уточнение'!$C105+'2023 уточнение'!$D105</f>
        <v>4178295.1500000004</v>
      </c>
      <c r="I105" s="222"/>
      <c r="J105" s="222">
        <f t="shared" ref="J105:J115" si="0">F106*5%</f>
        <v>868330</v>
      </c>
    </row>
    <row r="106" spans="1:19" s="223" customFormat="1" ht="18.5">
      <c r="A106" s="226" t="s">
        <v>54</v>
      </c>
      <c r="B106" s="220" t="s">
        <v>72</v>
      </c>
      <c r="C106" s="221">
        <v>17366600</v>
      </c>
      <c r="D106" s="221"/>
      <c r="E106" s="221"/>
      <c r="F106" s="221">
        <f>'2023 уточнение'!$C106+'2023 уточнение'!$D106+'2023 уточнение'!$E106</f>
        <v>17366600</v>
      </c>
      <c r="G106" s="222"/>
      <c r="H106" s="222">
        <f>'2023 уточнение'!$C106+'2023 уточнение'!$D106</f>
        <v>17366600</v>
      </c>
      <c r="I106" s="222"/>
      <c r="J106" s="222" t="e">
        <f>#REF!*5%</f>
        <v>#REF!</v>
      </c>
      <c r="P106" s="224"/>
    </row>
    <row r="107" spans="1:19" s="223" customFormat="1" ht="18.5">
      <c r="A107" s="226" t="s">
        <v>174</v>
      </c>
      <c r="B107" s="220" t="s">
        <v>72</v>
      </c>
      <c r="C107" s="221">
        <v>2000000</v>
      </c>
      <c r="D107" s="221"/>
      <c r="E107" s="221"/>
      <c r="F107" s="221">
        <f>'2023 уточнение'!$C107+'2023 уточнение'!$D107+'2023 уточнение'!$E107</f>
        <v>2000000</v>
      </c>
      <c r="G107" s="222">
        <f>'2023 уточнение'!$F107*5%</f>
        <v>100000</v>
      </c>
      <c r="H107" s="222">
        <f>'2023 уточнение'!$C107+'2023 уточнение'!$D107</f>
        <v>2000000</v>
      </c>
      <c r="I107" s="222"/>
      <c r="J107" s="222">
        <f>F108*5%</f>
        <v>90465.552500000005</v>
      </c>
    </row>
    <row r="108" spans="1:19" s="223" customFormat="1" ht="18.5">
      <c r="A108" s="226" t="s">
        <v>172</v>
      </c>
      <c r="B108" s="220" t="s">
        <v>72</v>
      </c>
      <c r="C108" s="221">
        <v>1809311.05</v>
      </c>
      <c r="D108" s="221"/>
      <c r="E108" s="221"/>
      <c r="F108" s="221">
        <f>'2023 уточнение'!$C108+'2023 уточнение'!$D108+'2023 уточнение'!$E108</f>
        <v>1809311.05</v>
      </c>
      <c r="G108" s="222">
        <f>'2023 уточнение'!$F108*5%</f>
        <v>90465.552500000005</v>
      </c>
      <c r="H108" s="222">
        <f>'2023 уточнение'!$C108+'2023 уточнение'!$D108</f>
        <v>1809311.05</v>
      </c>
      <c r="I108" s="222"/>
      <c r="J108" s="222">
        <f>F109*5%</f>
        <v>1336329.06</v>
      </c>
    </row>
    <row r="109" spans="1:19" s="233" customFormat="1" ht="18.5">
      <c r="A109" s="227"/>
      <c r="B109" s="228"/>
      <c r="C109" s="229">
        <f>C101+C102+C103+C104+C105+C106+C107+C108</f>
        <v>26726581.199999999</v>
      </c>
      <c r="D109" s="229">
        <f>D101+D102+D103+D104+D105+D106+D107+D108</f>
        <v>0</v>
      </c>
      <c r="E109" s="229">
        <f>E101+E102+E103+E104+E105+E106+E107+E108</f>
        <v>0</v>
      </c>
      <c r="F109" s="229">
        <f>F101+F102+F103+F104+F105+F106+F107+F108</f>
        <v>26726581.199999999</v>
      </c>
      <c r="G109" s="297">
        <f>'2023 уточнение'!$F109*5%</f>
        <v>1336329.06</v>
      </c>
      <c r="H109" s="297">
        <f>'2023 уточнение'!$C109+'2023 уточнение'!$D109</f>
        <v>26726581.199999999</v>
      </c>
      <c r="I109" s="297"/>
      <c r="J109" s="297">
        <f>F110*5%</f>
        <v>0</v>
      </c>
      <c r="O109" s="232"/>
    </row>
    <row r="110" spans="1:19">
      <c r="A110" s="165" t="s">
        <v>61</v>
      </c>
      <c r="B110" s="166"/>
      <c r="C110" s="167"/>
      <c r="D110" s="167"/>
      <c r="E110" s="167"/>
      <c r="F110" s="167"/>
      <c r="G110" s="160"/>
      <c r="H110" s="160">
        <f>'2023 уточнение'!$C110+'2023 уточнение'!$D110</f>
        <v>0</v>
      </c>
      <c r="I110" s="160"/>
      <c r="J110" s="160">
        <f t="shared" si="0"/>
        <v>974552.92799999996</v>
      </c>
    </row>
    <row r="111" spans="1:19" s="223" customFormat="1" ht="33" customHeight="1">
      <c r="A111" s="219" t="s">
        <v>144</v>
      </c>
      <c r="B111" s="220" t="s">
        <v>72</v>
      </c>
      <c r="C111" s="221">
        <v>974552.91899999999</v>
      </c>
      <c r="D111" s="221">
        <f>18516505.461+0.18</f>
        <v>18516505.640999999</v>
      </c>
      <c r="E111" s="221"/>
      <c r="F111" s="221">
        <f>'2023 уточнение'!$C111+'2023 уточнение'!$D111</f>
        <v>19491058.559999999</v>
      </c>
      <c r="G111" s="222">
        <f>'2023 уточнение'!$C111+'2023 уточнение'!$D111</f>
        <v>19491058.559999999</v>
      </c>
      <c r="H111" s="222">
        <f>'2023 уточнение'!$C111+'2023 уточнение'!$D111</f>
        <v>19491058.559999999</v>
      </c>
      <c r="I111" s="222"/>
      <c r="J111" s="222">
        <f t="shared" si="0"/>
        <v>1260377.4585000002</v>
      </c>
      <c r="K111" s="223">
        <f>'2023 уточнение'!$C111/'2023 уточнение'!$F111</f>
        <v>4.9999999538249816E-2</v>
      </c>
      <c r="O111" s="224"/>
      <c r="P111" s="224"/>
      <c r="Q111" s="224"/>
      <c r="R111" s="224"/>
    </row>
    <row r="112" spans="1:19" s="223" customFormat="1" ht="33" customHeight="1">
      <c r="A112" s="225" t="s">
        <v>145</v>
      </c>
      <c r="B112" s="220" t="s">
        <v>72</v>
      </c>
      <c r="C112" s="221">
        <v>1260377.4585000002</v>
      </c>
      <c r="D112" s="221">
        <v>23947171.7115</v>
      </c>
      <c r="E112" s="221"/>
      <c r="F112" s="221">
        <f>'2023 уточнение'!$C112+'2023 уточнение'!$D112</f>
        <v>25207549.170000002</v>
      </c>
      <c r="G112" s="222">
        <f>'2023 уточнение'!$C112+'2023 уточнение'!$D112</f>
        <v>25207549.170000002</v>
      </c>
      <c r="H112" s="222">
        <f>'2023 уточнение'!$C112+'2023 уточнение'!$D112</f>
        <v>25207549.170000002</v>
      </c>
      <c r="I112" s="222"/>
      <c r="J112" s="222">
        <f t="shared" si="0"/>
        <v>814999.87099999993</v>
      </c>
      <c r="R112" s="224"/>
    </row>
    <row r="113" spans="1:15" s="223" customFormat="1" ht="33" customHeight="1">
      <c r="A113" s="219" t="s">
        <v>146</v>
      </c>
      <c r="B113" s="220" t="s">
        <v>72</v>
      </c>
      <c r="C113" s="221">
        <v>814999.87100000004</v>
      </c>
      <c r="D113" s="221">
        <v>15484997.548999999</v>
      </c>
      <c r="E113" s="221"/>
      <c r="F113" s="221">
        <f>'2023 уточнение'!$C113+'2023 уточнение'!$D113</f>
        <v>16299997.419999998</v>
      </c>
      <c r="G113" s="222">
        <f>'2023 уточнение'!$C113+'2023 уточнение'!$D113</f>
        <v>16299997.419999998</v>
      </c>
      <c r="H113" s="222">
        <f>'2023 уточнение'!$C113+'2023 уточнение'!$D113</f>
        <v>16299997.419999998</v>
      </c>
      <c r="I113" s="222"/>
      <c r="J113" s="222" t="e">
        <f>#REF!*5%</f>
        <v>#REF!</v>
      </c>
    </row>
    <row r="114" spans="1:15" s="223" customFormat="1" ht="33" customHeight="1">
      <c r="A114" s="226" t="s">
        <v>149</v>
      </c>
      <c r="B114" s="220" t="s">
        <v>72</v>
      </c>
      <c r="C114" s="221">
        <v>355178.08799999999</v>
      </c>
      <c r="D114" s="221">
        <v>6748383.6719999993</v>
      </c>
      <c r="E114" s="221"/>
      <c r="F114" s="221">
        <f>'2023 уточнение'!$C114+'2023 уточнение'!$D114</f>
        <v>7103561.7599999998</v>
      </c>
      <c r="G114" s="222">
        <f>'2023 уточнение'!$C114+'2023 уточнение'!$D114</f>
        <v>7103561.7599999998</v>
      </c>
      <c r="H114" s="222">
        <f>'2023 уточнение'!$C114+'2023 уточнение'!$D114</f>
        <v>7103561.7599999998</v>
      </c>
      <c r="I114" s="222"/>
      <c r="J114" s="222">
        <f t="shared" si="0"/>
        <v>760836.22199999995</v>
      </c>
      <c r="L114" s="224">
        <f>F111+F112+F113+'2023 уточнение'!$F114+F115+F116</f>
        <v>97797894.741500005</v>
      </c>
      <c r="M114" s="223">
        <f>L114*2.14</f>
        <v>209287494.74681002</v>
      </c>
    </row>
    <row r="115" spans="1:15" s="223" customFormat="1" ht="33" customHeight="1">
      <c r="A115" s="226" t="s">
        <v>147</v>
      </c>
      <c r="B115" s="220" t="s">
        <v>72</v>
      </c>
      <c r="C115" s="221">
        <v>760836.22200000007</v>
      </c>
      <c r="D115" s="221">
        <v>14455888.217999998</v>
      </c>
      <c r="E115" s="221"/>
      <c r="F115" s="221">
        <f>'2023 уточнение'!$C115+'2023 уточнение'!$D115</f>
        <v>15216724.439999998</v>
      </c>
      <c r="G115" s="222">
        <f>'2023 уточнение'!$C115+'2023 уточнение'!$D115</f>
        <v>15216724.439999998</v>
      </c>
      <c r="H115" s="222">
        <f>'2023 уточнение'!$C115+'2023 уточнение'!$D115</f>
        <v>15216724.439999998</v>
      </c>
      <c r="I115" s="222"/>
      <c r="J115" s="222">
        <f t="shared" si="0"/>
        <v>723950.16957499972</v>
      </c>
    </row>
    <row r="116" spans="1:15" s="223" customFormat="1" ht="33" customHeight="1">
      <c r="A116" s="226" t="s">
        <v>148</v>
      </c>
      <c r="B116" s="220" t="s">
        <v>72</v>
      </c>
      <c r="C116" s="221">
        <v>723950</v>
      </c>
      <c r="D116" s="221">
        <v>13755053.391499994</v>
      </c>
      <c r="E116" s="221"/>
      <c r="F116" s="221">
        <f>'2023 уточнение'!$C116+'2023 уточнение'!$D116</f>
        <v>14479003.391499994</v>
      </c>
      <c r="G116" s="222">
        <f>'2023 уточнение'!$C116+'2023 уточнение'!$D116</f>
        <v>14479003.391499994</v>
      </c>
      <c r="H116" s="222">
        <f>'2023 уточнение'!$C116+'2023 уточнение'!$D116</f>
        <v>14479003.391499994</v>
      </c>
      <c r="I116" s="222"/>
      <c r="J116" s="222">
        <f>F127*5%</f>
        <v>8318785.8580750003</v>
      </c>
      <c r="K116" s="224">
        <f>'2023 уточнение'!$D$146-'2023 уточнение'!$D$127</f>
        <v>-133527351.73317213</v>
      </c>
    </row>
    <row r="117" spans="1:15" s="233" customFormat="1" ht="18.5">
      <c r="A117" s="227" t="s">
        <v>143</v>
      </c>
      <c r="B117" s="228" t="s">
        <v>72</v>
      </c>
      <c r="C117" s="229">
        <f>C111+C112+C113+C114+C115+C116</f>
        <v>4889894.5585000012</v>
      </c>
      <c r="D117" s="230">
        <f>D111+D112+D113+D114+D115+D116</f>
        <v>92908000.182999998</v>
      </c>
      <c r="E117" s="229"/>
      <c r="F117" s="229">
        <f>F111+F112+F113+F114+F115+F116</f>
        <v>97797894.741500005</v>
      </c>
      <c r="G117" s="231">
        <f>'2023 уточнение'!$F117*5%</f>
        <v>4889894.7370750001</v>
      </c>
      <c r="H117" s="231">
        <f>'2023 уточнение'!$C117+'2023 уточнение'!$D117</f>
        <v>97797894.741500005</v>
      </c>
      <c r="I117" s="231"/>
      <c r="J117" s="231">
        <f>F127*5%</f>
        <v>8318785.8580750003</v>
      </c>
      <c r="K117" s="232"/>
    </row>
    <row r="118" spans="1:15" s="233" customFormat="1" ht="32.25" customHeight="1">
      <c r="A118" s="234" t="s">
        <v>150</v>
      </c>
      <c r="B118" s="235"/>
      <c r="C118" s="236" t="s">
        <v>155</v>
      </c>
      <c r="D118" s="236" t="s">
        <v>156</v>
      </c>
      <c r="E118" s="236" t="s">
        <v>157</v>
      </c>
      <c r="F118" s="236"/>
      <c r="G118" s="237">
        <f>'2023 уточнение'!$F118*5%</f>
        <v>0</v>
      </c>
      <c r="H118" s="237" t="e">
        <f>'2023 уточнение'!$C118+'2023 уточнение'!$D118</f>
        <v>#VALUE!</v>
      </c>
      <c r="I118" s="237"/>
      <c r="J118" s="237">
        <f>F119*5%</f>
        <v>365057.51600000006</v>
      </c>
      <c r="K118" s="232"/>
    </row>
    <row r="119" spans="1:15" s="242" customFormat="1" ht="36.5">
      <c r="A119" s="238" t="s">
        <v>176</v>
      </c>
      <c r="B119" s="239" t="s">
        <v>72</v>
      </c>
      <c r="C119" s="240">
        <v>201207.49</v>
      </c>
      <c r="D119" s="240">
        <v>7099942.8300000001</v>
      </c>
      <c r="E119" s="240"/>
      <c r="F119" s="239">
        <f>C119+D119</f>
        <v>7301150.3200000003</v>
      </c>
      <c r="G119" s="239">
        <f>'2023 уточнение'!$F119*5%</f>
        <v>365057.51600000006</v>
      </c>
      <c r="H119" s="239">
        <f>'2023 уточнение'!$C119+'2023 уточнение'!$D119</f>
        <v>7301150.3200000003</v>
      </c>
      <c r="I119" s="239"/>
      <c r="J119" s="239">
        <f>F126*5%</f>
        <v>2092562.061</v>
      </c>
      <c r="K119" s="241"/>
      <c r="O119" s="240">
        <v>7099942.8300000001</v>
      </c>
    </row>
    <row r="120" spans="1:15" s="245" customFormat="1" ht="36.5">
      <c r="A120" s="238" t="s">
        <v>177</v>
      </c>
      <c r="B120" s="239" t="s">
        <v>72</v>
      </c>
      <c r="C120" s="239">
        <v>145544.20000000001</v>
      </c>
      <c r="D120" s="240">
        <v>5044498.47</v>
      </c>
      <c r="E120" s="240"/>
      <c r="F120" s="239">
        <f t="shared" ref="F120:F125" si="1">C120+D120</f>
        <v>5190042.67</v>
      </c>
      <c r="G120" s="243">
        <f>'2023 уточнение'!$F120*5%</f>
        <v>259502.1335</v>
      </c>
      <c r="H120" s="243">
        <f>'2023 уточнение'!$C120+'2023 уточнение'!$D120</f>
        <v>5190042.67</v>
      </c>
      <c r="I120" s="243"/>
      <c r="J120" s="243">
        <f t="shared" ref="J120:J125" si="2">F121*5%</f>
        <v>347820.76850000001</v>
      </c>
      <c r="K120" s="244"/>
      <c r="O120" s="240">
        <v>5044498.47</v>
      </c>
    </row>
    <row r="121" spans="1:15" s="247" customFormat="1" ht="36.5">
      <c r="A121" s="238" t="s">
        <v>178</v>
      </c>
      <c r="B121" s="239" t="s">
        <v>72</v>
      </c>
      <c r="C121" s="239">
        <v>201360.53</v>
      </c>
      <c r="D121" s="239">
        <v>6755054.8399999999</v>
      </c>
      <c r="E121" s="239"/>
      <c r="F121" s="239">
        <f t="shared" si="1"/>
        <v>6956415.3700000001</v>
      </c>
      <c r="G121" s="243">
        <f>'2023 уточнение'!$F121*5%</f>
        <v>347820.76850000001</v>
      </c>
      <c r="H121" s="243">
        <f>'2023 уточнение'!$C121+'2023 уточнение'!$D121</f>
        <v>6956415.3700000001</v>
      </c>
      <c r="I121" s="243"/>
      <c r="J121" s="243">
        <f t="shared" si="2"/>
        <v>234152.52799999999</v>
      </c>
      <c r="K121" s="246"/>
      <c r="O121" s="239">
        <v>6755054.8399999999</v>
      </c>
    </row>
    <row r="122" spans="1:15" s="247" customFormat="1" ht="36.5">
      <c r="A122" s="238" t="s">
        <v>179</v>
      </c>
      <c r="B122" s="239" t="s">
        <v>72</v>
      </c>
      <c r="C122" s="239">
        <v>129058.25</v>
      </c>
      <c r="D122" s="240">
        <v>4553992.3099999996</v>
      </c>
      <c r="E122" s="239"/>
      <c r="F122" s="239">
        <f t="shared" si="1"/>
        <v>4683050.5599999996</v>
      </c>
      <c r="G122" s="243">
        <f>'2023 уточнение'!$F122*5%</f>
        <v>234152.52799999999</v>
      </c>
      <c r="H122" s="243">
        <f>'2023 уточнение'!$C122+'2023 уточнение'!$D122</f>
        <v>4683050.5599999996</v>
      </c>
      <c r="I122" s="243"/>
      <c r="J122" s="243">
        <f t="shared" si="2"/>
        <v>127204.23299999999</v>
      </c>
      <c r="K122" s="246"/>
      <c r="O122" s="240">
        <v>4553992.3099999996</v>
      </c>
    </row>
    <row r="123" spans="1:15" s="247" customFormat="1" ht="36.5">
      <c r="A123" s="238" t="s">
        <v>180</v>
      </c>
      <c r="B123" s="239" t="s">
        <v>72</v>
      </c>
      <c r="C123" s="239">
        <v>73641.570000000007</v>
      </c>
      <c r="D123" s="239">
        <v>2470443.09</v>
      </c>
      <c r="E123" s="239"/>
      <c r="F123" s="239">
        <f t="shared" si="1"/>
        <v>2544084.6599999997</v>
      </c>
      <c r="G123" s="243">
        <f>'2023 уточнение'!$F123*5%</f>
        <v>127204.23299999999</v>
      </c>
      <c r="H123" s="243">
        <f>'2023 уточнение'!$C123+'2023 уточнение'!$D123</f>
        <v>2544084.6599999997</v>
      </c>
      <c r="I123" s="243"/>
      <c r="J123" s="243">
        <f t="shared" si="2"/>
        <v>563551.11250000005</v>
      </c>
      <c r="K123" s="246"/>
      <c r="O123" s="239">
        <v>2470443.09</v>
      </c>
    </row>
    <row r="124" spans="1:15" s="247" customFormat="1" ht="36.5">
      <c r="A124" s="238" t="s">
        <v>181</v>
      </c>
      <c r="B124" s="239" t="s">
        <v>72</v>
      </c>
      <c r="C124" s="239">
        <v>281675.15999999997</v>
      </c>
      <c r="D124" s="239">
        <v>10989347.09</v>
      </c>
      <c r="E124" s="239"/>
      <c r="F124" s="239">
        <f t="shared" si="1"/>
        <v>11271022.25</v>
      </c>
      <c r="G124" s="243">
        <f>'2023 уточнение'!$F124*5%</f>
        <v>563551.11250000005</v>
      </c>
      <c r="H124" s="243">
        <f>'2023 уточнение'!$C124+'2023 уточнение'!$D124</f>
        <v>11271022.25</v>
      </c>
      <c r="I124" s="243"/>
      <c r="J124" s="243">
        <f t="shared" si="2"/>
        <v>195273.76950000002</v>
      </c>
      <c r="K124" s="246"/>
      <c r="O124" s="239">
        <v>10989347.09</v>
      </c>
    </row>
    <row r="125" spans="1:15" s="247" customFormat="1" ht="51" customHeight="1">
      <c r="A125" s="248" t="s">
        <v>182</v>
      </c>
      <c r="B125" s="249" t="s">
        <v>72</v>
      </c>
      <c r="C125" s="250">
        <v>106494.47</v>
      </c>
      <c r="D125" s="250">
        <v>3798980.92</v>
      </c>
      <c r="E125" s="250"/>
      <c r="F125" s="239">
        <f t="shared" si="1"/>
        <v>3905475.39</v>
      </c>
      <c r="G125" s="243">
        <f>'2023 уточнение'!$F125*5%</f>
        <v>195273.76950000002</v>
      </c>
      <c r="H125" s="243">
        <f>'2023 уточнение'!$C125+'2023 уточнение'!$D125</f>
        <v>3905475.39</v>
      </c>
      <c r="I125" s="243"/>
      <c r="J125" s="243">
        <f t="shared" si="2"/>
        <v>2092562.061</v>
      </c>
      <c r="K125" s="246"/>
      <c r="O125" s="250">
        <v>3798980.92</v>
      </c>
    </row>
    <row r="126" spans="1:15" s="233" customFormat="1" ht="18.5">
      <c r="A126" s="227" t="s">
        <v>151</v>
      </c>
      <c r="B126" s="228"/>
      <c r="C126" s="229">
        <f>C119+C120+C121+C122+C123+C124+C125</f>
        <v>1138981.67</v>
      </c>
      <c r="D126" s="229">
        <f>D119+D120+D121+D122+D123+D124+D125</f>
        <v>40712259.549999997</v>
      </c>
      <c r="E126" s="229">
        <f>E119+E120+E121+E122+E123+E124+E125</f>
        <v>0</v>
      </c>
      <c r="F126" s="229">
        <f>F119+F120+F121+F122+F123+F124+F125</f>
        <v>41851241.219999999</v>
      </c>
      <c r="G126" s="231">
        <f>'2023 уточнение'!$F126*5%</f>
        <v>2092562.061</v>
      </c>
      <c r="H126" s="231">
        <f>'2023 уточнение'!$C126+'2023 уточнение'!$D126</f>
        <v>41851241.219999999</v>
      </c>
      <c r="I126" s="231"/>
      <c r="J126" s="231" t="e">
        <f>#REF!*5%</f>
        <v>#REF!</v>
      </c>
      <c r="K126" s="232"/>
    </row>
    <row r="127" spans="1:15" s="341" customFormat="1" ht="18.5">
      <c r="A127" s="337" t="s">
        <v>152</v>
      </c>
      <c r="B127" s="338"/>
      <c r="C127" s="339">
        <f>C109+C117+C126</f>
        <v>32755457.428500004</v>
      </c>
      <c r="D127" s="339">
        <f>D126+D117</f>
        <v>133620259.733</v>
      </c>
      <c r="E127" s="339"/>
      <c r="F127" s="339">
        <f>F117+F109+F126</f>
        <v>166375717.16150001</v>
      </c>
      <c r="G127" s="340"/>
      <c r="H127" s="340"/>
      <c r="I127" s="340"/>
      <c r="J127" s="340"/>
    </row>
    <row r="128" spans="1:15" s="180" customFormat="1" ht="21">
      <c r="A128" s="359" t="s">
        <v>51</v>
      </c>
      <c r="B128" s="359"/>
      <c r="C128" s="359"/>
      <c r="D128" s="359"/>
      <c r="E128" s="178"/>
      <c r="F128" s="179"/>
      <c r="H128" s="181"/>
      <c r="I128" s="181">
        <f ca="1">I128:L135</f>
        <v>0</v>
      </c>
      <c r="L128" s="180">
        <f>F111*5%</f>
        <v>974552.92799999996</v>
      </c>
    </row>
    <row r="129" spans="1:17" s="180" customFormat="1" ht="21">
      <c r="A129" s="182" t="s">
        <v>0</v>
      </c>
      <c r="B129" s="216" t="s">
        <v>63</v>
      </c>
      <c r="C129" s="217" t="s">
        <v>2</v>
      </c>
      <c r="D129" s="217" t="s">
        <v>1</v>
      </c>
      <c r="E129" s="217" t="s">
        <v>3</v>
      </c>
      <c r="F129" s="184" t="s">
        <v>55</v>
      </c>
      <c r="G129" s="185" t="s">
        <v>106</v>
      </c>
      <c r="H129" s="181"/>
      <c r="I129" s="181">
        <v>15364000</v>
      </c>
      <c r="J129" s="181">
        <f>I129-15364925.26</f>
        <v>-925.25999999977648</v>
      </c>
      <c r="L129" s="180">
        <f>F112*5%</f>
        <v>1260377.4585000002</v>
      </c>
    </row>
    <row r="130" spans="1:17" s="180" customFormat="1" ht="21">
      <c r="A130" s="186" t="s">
        <v>105</v>
      </c>
      <c r="B130" s="183"/>
      <c r="C130" s="184"/>
      <c r="D130" s="184"/>
      <c r="E130" s="184"/>
      <c r="F130" s="184">
        <f>'2023 уточнение'!$E130+'2023 уточнение'!$D130+'2023 уточнение'!$C130</f>
        <v>0</v>
      </c>
      <c r="G130" s="187" t="e">
        <f>D116+C115+C114+#REF!+C113+C112+C111+C110</f>
        <v>#REF!</v>
      </c>
      <c r="H130" s="181"/>
      <c r="I130" s="181"/>
      <c r="L130" s="180">
        <f>F113*5%</f>
        <v>814999.87099999993</v>
      </c>
    </row>
    <row r="131" spans="1:17" s="180" customFormat="1" ht="21">
      <c r="A131" s="188" t="s">
        <v>87</v>
      </c>
      <c r="B131" s="189" t="s">
        <v>73</v>
      </c>
      <c r="C131" s="190">
        <v>600</v>
      </c>
      <c r="D131" s="191"/>
      <c r="E131" s="191"/>
      <c r="F131" s="190">
        <f>'2023 уточнение'!$E131+'2023 уточнение'!$D131+'2023 уточнение'!$C131</f>
        <v>600</v>
      </c>
      <c r="G131" s="187" t="e">
        <f>D127+C116+C115+C114+#REF!+C113+C112+C111</f>
        <v>#REF!</v>
      </c>
      <c r="H131" s="181"/>
      <c r="I131" s="181" t="e">
        <f>(C101+C103+C105+C106+#REF!)*1000</f>
        <v>#REF!</v>
      </c>
      <c r="J131" s="192">
        <f>J129/1000</f>
        <v>-0.92525999999977648</v>
      </c>
      <c r="L131" s="180" t="e">
        <f>#REF!*5%</f>
        <v>#REF!</v>
      </c>
      <c r="P131" s="181"/>
    </row>
    <row r="132" spans="1:17" s="180" customFormat="1" ht="21">
      <c r="A132" s="188" t="s">
        <v>76</v>
      </c>
      <c r="B132" s="189" t="s">
        <v>73</v>
      </c>
      <c r="C132" s="190">
        <v>400</v>
      </c>
      <c r="D132" s="191"/>
      <c r="E132" s="191"/>
      <c r="F132" s="190">
        <f>'2023 уточнение'!$E132+'2023 уточнение'!$D132+'2023 уточнение'!$C132</f>
        <v>400</v>
      </c>
      <c r="G132" s="187" t="e">
        <f>D128+C127+C116+C115+C114+#REF!+C113+C112</f>
        <v>#REF!</v>
      </c>
      <c r="H132" s="181"/>
      <c r="I132" s="181" t="e">
        <f>15364925.26-I131</f>
        <v>#REF!</v>
      </c>
      <c r="L132" s="180">
        <f>F114*5%</f>
        <v>355178.08799999999</v>
      </c>
      <c r="N132" s="180">
        <v>23998.15</v>
      </c>
    </row>
    <row r="133" spans="1:17" s="196" customFormat="1" ht="21">
      <c r="A133" s="193" t="s">
        <v>164</v>
      </c>
      <c r="B133" s="189" t="s">
        <v>73</v>
      </c>
      <c r="C133" s="190">
        <f>4046.72+58.53+0.15+917.56+0-28.700025+0.005-0.01-0.79-4000-0.78</f>
        <v>992.68497499999899</v>
      </c>
      <c r="D133" s="191"/>
      <c r="E133" s="191"/>
      <c r="F133" s="190">
        <f>'2023 уточнение'!$E133+'2023 уточнение'!$D133+'2023 уточнение'!$C133</f>
        <v>992.68497499999899</v>
      </c>
      <c r="G133" s="194" t="e">
        <f>D129+C128+C127+C116+C115+C114+#REF!+C113</f>
        <v>#VALUE!</v>
      </c>
      <c r="H133" s="195"/>
      <c r="I133" s="195" t="e">
        <f>I132/1000</f>
        <v>#REF!</v>
      </c>
      <c r="J133" s="195" t="e">
        <f>C101+C103+C105+C106+#REF!</f>
        <v>#REF!</v>
      </c>
      <c r="K133" s="195">
        <f>'2023 уточнение'!$F$127-113163.52</f>
        <v>166262553.6415</v>
      </c>
      <c r="L133" s="196">
        <f>F115*5%</f>
        <v>760836.22199999995</v>
      </c>
      <c r="N133" s="196">
        <f>N132*5%</f>
        <v>1199.9075</v>
      </c>
    </row>
    <row r="134" spans="1:17" s="196" customFormat="1" ht="21">
      <c r="A134" s="197" t="s">
        <v>170</v>
      </c>
      <c r="B134" s="198" t="s">
        <v>73</v>
      </c>
      <c r="C134" s="199">
        <v>4000</v>
      </c>
      <c r="D134" s="199"/>
      <c r="E134" s="199"/>
      <c r="F134" s="199">
        <f>C134</f>
        <v>4000</v>
      </c>
      <c r="G134" s="187"/>
      <c r="H134" s="195"/>
      <c r="I134" s="195"/>
      <c r="J134" s="195"/>
      <c r="K134" s="195"/>
    </row>
    <row r="135" spans="1:17" s="196" customFormat="1" ht="21">
      <c r="A135" s="188" t="s">
        <v>173</v>
      </c>
      <c r="B135" s="189" t="s">
        <v>73</v>
      </c>
      <c r="C135" s="190">
        <v>7976.6</v>
      </c>
      <c r="D135" s="191"/>
      <c r="E135" s="191"/>
      <c r="F135" s="190">
        <f>'2023 уточнение'!$E135+'2023 уточнение'!$D135+'2023 уточнение'!$C135</f>
        <v>7976.6</v>
      </c>
      <c r="G135" s="194" t="e">
        <f>D130+C129+C128+C127+C116+C115+C114+#REF!</f>
        <v>#VALUE!</v>
      </c>
      <c r="H135" s="195"/>
      <c r="I135" s="195"/>
      <c r="L135" s="196">
        <f>F116*5%</f>
        <v>723950.16957499972</v>
      </c>
      <c r="O135" s="195"/>
      <c r="P135" s="195"/>
    </row>
    <row r="136" spans="1:17" s="196" customFormat="1" ht="21">
      <c r="A136" s="188" t="s">
        <v>162</v>
      </c>
      <c r="B136" s="189" t="s">
        <v>73</v>
      </c>
      <c r="C136" s="190">
        <f>2064.15+0.02+28.7</f>
        <v>2092.87</v>
      </c>
      <c r="D136" s="191"/>
      <c r="E136" s="191"/>
      <c r="F136" s="190">
        <f>'2023 уточнение'!$E136+'2023 уточнение'!$D136+'2023 уточнение'!$C136</f>
        <v>2092.87</v>
      </c>
      <c r="G136" s="194" t="e">
        <f>D131+C130+C129+C128+C127+C116+C115+C114</f>
        <v>#VALUE!</v>
      </c>
      <c r="H136" s="195"/>
      <c r="I136" s="195"/>
      <c r="K136" s="195"/>
      <c r="L136" s="196">
        <f>F127*5%</f>
        <v>8318785.8580750003</v>
      </c>
      <c r="N136" s="196">
        <f>N132-N133</f>
        <v>22798.2425</v>
      </c>
    </row>
    <row r="137" spans="1:17" s="196" customFormat="1" ht="21">
      <c r="A137" s="200" t="s">
        <v>61</v>
      </c>
      <c r="B137" s="201"/>
      <c r="C137" s="202"/>
      <c r="D137" s="202"/>
      <c r="E137" s="202"/>
      <c r="F137" s="202"/>
      <c r="G137" s="194" t="e">
        <f>D132+C131+C130+C129+C128+C127+C116+C115</f>
        <v>#VALUE!</v>
      </c>
      <c r="H137" s="195">
        <f>F138*5%</f>
        <v>715.73050672250019</v>
      </c>
      <c r="I137" s="195"/>
      <c r="K137" s="195" t="e">
        <f>C101+C103+C105+C106+#REF!</f>
        <v>#REF!</v>
      </c>
      <c r="L137" s="196">
        <f>F128*5%</f>
        <v>0</v>
      </c>
    </row>
    <row r="138" spans="1:17" s="196" customFormat="1" ht="21">
      <c r="A138" s="203" t="s">
        <v>166</v>
      </c>
      <c r="B138" s="189" t="s">
        <v>73</v>
      </c>
      <c r="C138" s="190">
        <f t="shared" ref="C138:C143" si="3">F138-D138</f>
        <v>715.73050672250065</v>
      </c>
      <c r="D138" s="190">
        <f t="shared" ref="D138:D143" si="4">F138*95%</f>
        <v>13598.879627727501</v>
      </c>
      <c r="E138" s="190"/>
      <c r="F138" s="190">
        <v>14314.610134450002</v>
      </c>
      <c r="G138" s="194" t="e">
        <f>D133+C132+C131+C130+C129+C128+C127+C116</f>
        <v>#VALUE!</v>
      </c>
      <c r="H138" s="195">
        <f>'2023 уточнение'!$F138*5%</f>
        <v>715.73050672250019</v>
      </c>
      <c r="I138" s="195">
        <f>'2023 уточнение'!$F138-'2023 уточнение'!$C138</f>
        <v>13598.879627727501</v>
      </c>
      <c r="J138" s="195"/>
      <c r="K138" s="195" t="e">
        <f>K137*1000</f>
        <v>#REF!</v>
      </c>
      <c r="O138" s="196">
        <f>D138/1000</f>
        <v>13.598879627727502</v>
      </c>
      <c r="P138" s="196">
        <f t="shared" ref="P138:P143" si="5">F138/1000</f>
        <v>14.314610134450001</v>
      </c>
      <c r="Q138" s="196">
        <f t="shared" ref="Q138:Q143" si="6">D138/1000</f>
        <v>13.598879627727502</v>
      </c>
    </row>
    <row r="139" spans="1:17" s="196" customFormat="1" ht="21">
      <c r="A139" s="203" t="s">
        <v>167</v>
      </c>
      <c r="B139" s="189" t="s">
        <v>73</v>
      </c>
      <c r="C139" s="190">
        <f t="shared" si="3"/>
        <v>648.23184480000054</v>
      </c>
      <c r="D139" s="190">
        <f t="shared" si="4"/>
        <v>12316.405051199999</v>
      </c>
      <c r="E139" s="190"/>
      <c r="F139" s="190">
        <v>12964.636896</v>
      </c>
      <c r="G139" s="194" t="e">
        <f>D135+C133+C132+C131+C130+C129+C128+C127</f>
        <v>#VALUE!</v>
      </c>
      <c r="H139" s="195">
        <f>'2023 уточнение'!$F139*5%</f>
        <v>648.23184480000009</v>
      </c>
      <c r="I139" s="195">
        <f>'2023 уточнение'!$F139-'2023 уточнение'!$C139</f>
        <v>12316.405051199999</v>
      </c>
      <c r="J139" s="195"/>
      <c r="K139" s="195" t="e">
        <f>K138-15364925.26</f>
        <v>#REF!</v>
      </c>
      <c r="L139" s="195" t="e">
        <f>F111+F112+F113+#REF!+F114+F115+F116</f>
        <v>#REF!</v>
      </c>
      <c r="O139" s="196">
        <f t="shared" ref="O139:O144" si="7">D139/1000</f>
        <v>12.3164050512</v>
      </c>
      <c r="P139" s="196">
        <f t="shared" si="5"/>
        <v>12.964636896</v>
      </c>
      <c r="Q139" s="196">
        <f t="shared" si="6"/>
        <v>12.3164050512</v>
      </c>
    </row>
    <row r="140" spans="1:17" s="196" customFormat="1" ht="21">
      <c r="A140" s="203" t="s">
        <v>175</v>
      </c>
      <c r="B140" s="189" t="s">
        <v>73</v>
      </c>
      <c r="C140" s="190">
        <f t="shared" si="3"/>
        <v>1235.303108160002</v>
      </c>
      <c r="D140" s="190">
        <f t="shared" si="4"/>
        <v>23470.759055040002</v>
      </c>
      <c r="E140" s="190"/>
      <c r="F140" s="190">
        <v>24706.062163200004</v>
      </c>
      <c r="G140" s="194" t="e">
        <f>D136+C135+C133+C132+C131+C130+C129+C128</f>
        <v>#VALUE!</v>
      </c>
      <c r="H140" s="195">
        <f>'2023 уточнение'!$F140*5%</f>
        <v>1235.3031081600002</v>
      </c>
      <c r="I140" s="195">
        <f>'2023 уточнение'!$F140-'2023 уточнение'!$C140</f>
        <v>23470.759055040002</v>
      </c>
      <c r="J140" s="195"/>
      <c r="K140" s="195"/>
      <c r="O140" s="196">
        <f t="shared" si="7"/>
        <v>23.470759055040002</v>
      </c>
      <c r="P140" s="196">
        <f t="shared" si="5"/>
        <v>24.706062163200002</v>
      </c>
      <c r="Q140" s="196">
        <f t="shared" si="6"/>
        <v>23.470759055040002</v>
      </c>
    </row>
    <row r="141" spans="1:17" s="205" customFormat="1" ht="21">
      <c r="A141" s="203" t="s">
        <v>171</v>
      </c>
      <c r="B141" s="189" t="s">
        <v>73</v>
      </c>
      <c r="C141" s="190">
        <f t="shared" si="3"/>
        <v>1313.9814971000014</v>
      </c>
      <c r="D141" s="190">
        <f t="shared" si="4"/>
        <v>24965.648444900002</v>
      </c>
      <c r="E141" s="204"/>
      <c r="F141" s="190">
        <v>26279.629942000003</v>
      </c>
      <c r="G141" s="194">
        <f>D139+C138+C137+C136+C135+C133+C132+C131</f>
        <v>25094.2905329225</v>
      </c>
      <c r="H141" s="195">
        <f>'2023 уточнение'!$F141*5%</f>
        <v>1313.9814971000003</v>
      </c>
      <c r="I141" s="195">
        <f>'2023 уточнение'!$F141-'2023 уточнение'!$C141</f>
        <v>24965.648444900002</v>
      </c>
      <c r="J141" s="195"/>
      <c r="K141" s="195"/>
      <c r="L141" s="205" t="e">
        <f>L139*1000</f>
        <v>#REF!</v>
      </c>
      <c r="O141" s="196">
        <f t="shared" si="7"/>
        <v>24.965648444900001</v>
      </c>
      <c r="P141" s="196">
        <f t="shared" si="5"/>
        <v>26.279629942000003</v>
      </c>
      <c r="Q141" s="196">
        <f t="shared" si="6"/>
        <v>24.965648444900001</v>
      </c>
    </row>
    <row r="142" spans="1:17" s="196" customFormat="1" ht="21">
      <c r="A142" s="206" t="s">
        <v>165</v>
      </c>
      <c r="B142" s="189" t="s">
        <v>73</v>
      </c>
      <c r="C142" s="190">
        <f t="shared" si="3"/>
        <v>450.3252709999997</v>
      </c>
      <c r="D142" s="190">
        <f t="shared" si="4"/>
        <v>8556.1801489999998</v>
      </c>
      <c r="E142" s="190"/>
      <c r="F142" s="190">
        <v>9006.5054199999995</v>
      </c>
      <c r="G142" s="194">
        <f>D140+C139+C138+C137+C136+C135+C133+C132</f>
        <v>36296.876381562499</v>
      </c>
      <c r="H142" s="195">
        <f>'2023 уточнение'!$F142*5%</f>
        <v>450.32527099999999</v>
      </c>
      <c r="I142" s="195">
        <f>'2023 уточнение'!$F142-'2023 уточнение'!$C142</f>
        <v>8556.1801489999998</v>
      </c>
      <c r="J142" s="195"/>
      <c r="K142" s="195"/>
      <c r="O142" s="196">
        <f t="shared" si="7"/>
        <v>8.5561801489999993</v>
      </c>
      <c r="P142" s="196">
        <f t="shared" si="5"/>
        <v>9.0065054199999999</v>
      </c>
      <c r="Q142" s="196">
        <f t="shared" si="6"/>
        <v>8.5561801489999993</v>
      </c>
    </row>
    <row r="143" spans="1:17" s="196" customFormat="1" ht="21">
      <c r="A143" s="188" t="s">
        <v>168</v>
      </c>
      <c r="B143" s="189" t="s">
        <v>73</v>
      </c>
      <c r="C143" s="190">
        <f t="shared" si="3"/>
        <v>526.32250000000022</v>
      </c>
      <c r="D143" s="190">
        <f t="shared" si="4"/>
        <v>10000.127500000001</v>
      </c>
      <c r="E143" s="190"/>
      <c r="F143" s="190">
        <v>10526.45</v>
      </c>
      <c r="G143" s="194" t="e">
        <f>#REF!+C140+C139+C138+C137+C136+C135+C133</f>
        <v>#REF!</v>
      </c>
      <c r="H143" s="195">
        <f>'2023 уточнение'!$F143*5%</f>
        <v>526.3225000000001</v>
      </c>
      <c r="I143" s="195">
        <f>'2023 уточнение'!$F143-'2023 уточнение'!$C143</f>
        <v>10000.127500000001</v>
      </c>
      <c r="J143" s="195" t="e">
        <f>#REF!-#REF!</f>
        <v>#REF!</v>
      </c>
      <c r="K143" s="195">
        <f>F138-C138</f>
        <v>13598.879627727501</v>
      </c>
      <c r="L143" s="196" t="e">
        <f>97797894.74-L141</f>
        <v>#REF!</v>
      </c>
      <c r="M143" s="196">
        <f>F138*5%</f>
        <v>715.73050672250019</v>
      </c>
      <c r="O143" s="196">
        <f t="shared" si="7"/>
        <v>10.000127500000001</v>
      </c>
      <c r="P143" s="196">
        <f t="shared" si="5"/>
        <v>10.526450000000001</v>
      </c>
      <c r="Q143" s="196">
        <f t="shared" si="6"/>
        <v>10.000127500000001</v>
      </c>
    </row>
    <row r="144" spans="1:17" s="196" customFormat="1" ht="21" hidden="1">
      <c r="A144" s="188"/>
      <c r="B144" s="189"/>
      <c r="C144" s="190"/>
      <c r="D144" s="190">
        <f>C144*95%</f>
        <v>0</v>
      </c>
      <c r="E144" s="190"/>
      <c r="F144" s="190"/>
      <c r="G144" s="194"/>
      <c r="H144" s="195"/>
      <c r="I144" s="195"/>
      <c r="J144" s="195"/>
      <c r="M144" s="196" t="e">
        <f>#REF!*5%</f>
        <v>#REF!</v>
      </c>
      <c r="O144" s="196">
        <f t="shared" si="7"/>
        <v>0</v>
      </c>
    </row>
    <row r="145" spans="1:16" s="196" customFormat="1" ht="21" hidden="1">
      <c r="A145" s="207"/>
      <c r="B145" s="208"/>
      <c r="C145" s="184"/>
      <c r="D145" s="209"/>
      <c r="E145" s="209"/>
      <c r="F145" s="209"/>
      <c r="G145" s="187"/>
      <c r="H145" s="195"/>
      <c r="I145" s="195"/>
      <c r="J145" s="195"/>
    </row>
    <row r="146" spans="1:16" s="215" customFormat="1" ht="21">
      <c r="A146" s="210" t="s">
        <v>53</v>
      </c>
      <c r="B146" s="211"/>
      <c r="C146" s="212">
        <f>SUBTOTAL(109,C130:C144)</f>
        <v>20952.049702782504</v>
      </c>
      <c r="D146" s="212">
        <f>D138+D139+D140+D141+D142+D143</f>
        <v>92907.99982786749</v>
      </c>
      <c r="E146" s="212">
        <f>SUBTOTAL(109,E130:E145)</f>
        <v>0</v>
      </c>
      <c r="F146" s="212">
        <f>SUBTOTAL(109,F130:F145)</f>
        <v>113860.04953065001</v>
      </c>
      <c r="G146" s="213"/>
      <c r="H146" s="214"/>
      <c r="I146" s="214"/>
      <c r="J146" s="214">
        <f>112944.05-'2023 уточнение'!$F$146</f>
        <v>-915.99953065000591</v>
      </c>
      <c r="K146" s="215">
        <f>J146*5%</f>
        <v>-45.799976532500295</v>
      </c>
      <c r="M146" s="215" t="e">
        <f>#REF!*5%</f>
        <v>#REF!</v>
      </c>
      <c r="N146" s="214" t="e">
        <f>N150-N154</f>
        <v>#REF!</v>
      </c>
      <c r="P146" s="215">
        <f>97797.89-87271.44</f>
        <v>10526.449999999997</v>
      </c>
    </row>
    <row r="147" spans="1:16">
      <c r="A147" s="360" t="s">
        <v>52</v>
      </c>
      <c r="B147" s="360"/>
      <c r="C147" s="360"/>
      <c r="D147" s="360"/>
      <c r="E147" s="169"/>
      <c r="F147" s="159"/>
      <c r="M147" s="161" t="e">
        <f>#REF!*5%</f>
        <v>#REF!</v>
      </c>
    </row>
    <row r="148" spans="1:16">
      <c r="A148" s="170" t="s">
        <v>0</v>
      </c>
      <c r="B148" s="162" t="s">
        <v>63</v>
      </c>
      <c r="C148" s="163" t="s">
        <v>2</v>
      </c>
      <c r="D148" s="163" t="s">
        <v>1</v>
      </c>
      <c r="E148" s="163" t="s">
        <v>3</v>
      </c>
      <c r="F148" s="163" t="s">
        <v>55</v>
      </c>
      <c r="G148" s="164" t="s">
        <v>106</v>
      </c>
      <c r="H148" s="164" t="s">
        <v>109</v>
      </c>
      <c r="I148" s="164" t="s">
        <v>113</v>
      </c>
      <c r="J148" s="164" t="s">
        <v>118</v>
      </c>
      <c r="K148" s="77">
        <f>'2023 уточнение'!$D$127-'2023 уточнение'!$D$146</f>
        <v>133527351.73317213</v>
      </c>
      <c r="L148" s="77">
        <f>F138-1.73</f>
        <v>14312.880134450003</v>
      </c>
      <c r="M148" s="161" t="e">
        <f>#REF!*5%</f>
        <v>#REF!</v>
      </c>
      <c r="N148" s="77"/>
    </row>
    <row r="149" spans="1:16" s="180" customFormat="1" ht="21">
      <c r="A149" s="207" t="s">
        <v>87</v>
      </c>
      <c r="B149" s="208" t="s">
        <v>74</v>
      </c>
      <c r="C149" s="209">
        <v>600</v>
      </c>
      <c r="D149" s="209"/>
      <c r="E149" s="209"/>
      <c r="F149" s="209">
        <f>C149</f>
        <v>600</v>
      </c>
      <c r="G149" s="187"/>
      <c r="H149" s="187"/>
      <c r="I149" s="187"/>
      <c r="J149" s="187">
        <f>C131+C132+C133+C135+C136</f>
        <v>12062.154974999998</v>
      </c>
      <c r="M149" s="334" t="e">
        <f>#REF!*5%</f>
        <v>#REF!</v>
      </c>
      <c r="O149" s="181">
        <f>C146-20952.05</f>
        <v>-2.9721749524469487E-4</v>
      </c>
    </row>
    <row r="150" spans="1:16" s="180" customFormat="1" ht="21">
      <c r="A150" s="207" t="s">
        <v>76</v>
      </c>
      <c r="B150" s="208" t="s">
        <v>74</v>
      </c>
      <c r="C150" s="209">
        <v>400</v>
      </c>
      <c r="D150" s="209"/>
      <c r="E150" s="209"/>
      <c r="F150" s="209">
        <f t="shared" ref="F150:F166" si="8">C150</f>
        <v>400</v>
      </c>
      <c r="G150" s="187"/>
      <c r="H150" s="187"/>
      <c r="I150" s="187"/>
      <c r="J150" s="187">
        <f>C132+C133+C135+C136+C137</f>
        <v>11462.154974999998</v>
      </c>
      <c r="K150" s="181"/>
      <c r="L150" s="181">
        <f>'2023 уточнение'!$D$146-'2023 уточнение'!$D$127</f>
        <v>-133527351.73317213</v>
      </c>
      <c r="M150" s="334">
        <f>F144*5%</f>
        <v>0</v>
      </c>
      <c r="N150" s="180">
        <f>97797.89*5%</f>
        <v>4889.8945000000003</v>
      </c>
      <c r="P150" s="181">
        <f>F146-97797.85</f>
        <v>16062.199530650003</v>
      </c>
    </row>
    <row r="151" spans="1:16" s="180" customFormat="1" ht="21">
      <c r="A151" s="207" t="s">
        <v>54</v>
      </c>
      <c r="B151" s="208" t="s">
        <v>74</v>
      </c>
      <c r="C151" s="209">
        <v>7976.6</v>
      </c>
      <c r="D151" s="209"/>
      <c r="E151" s="209"/>
      <c r="F151" s="209">
        <f t="shared" si="8"/>
        <v>7976.6</v>
      </c>
      <c r="G151" s="187"/>
      <c r="H151" s="187"/>
      <c r="I151" s="187"/>
      <c r="J151" s="187">
        <f>C133+C135+C136+C137+C138</f>
        <v>11777.885481722498</v>
      </c>
      <c r="K151" s="180">
        <f>112944.05-112876.55</f>
        <v>67.5</v>
      </c>
      <c r="M151" s="334" t="e">
        <f>#REF!*5%</f>
        <v>#REF!</v>
      </c>
    </row>
    <row r="152" spans="1:16" s="180" customFormat="1" ht="21" hidden="1">
      <c r="A152" s="207" t="s">
        <v>54</v>
      </c>
      <c r="B152" s="208" t="s">
        <v>74</v>
      </c>
      <c r="C152" s="209">
        <v>0</v>
      </c>
      <c r="D152" s="209"/>
      <c r="E152" s="209"/>
      <c r="F152" s="209">
        <f t="shared" si="8"/>
        <v>0</v>
      </c>
      <c r="G152" s="187"/>
      <c r="H152" s="187"/>
      <c r="I152" s="187"/>
      <c r="J152" s="187">
        <f>C135+C136+C137+C138+C139</f>
        <v>11433.432351522502</v>
      </c>
      <c r="P152" s="181">
        <f>F146-113860.82</f>
        <v>-0.77046934999816585</v>
      </c>
    </row>
    <row r="153" spans="1:16" s="180" customFormat="1" ht="21">
      <c r="A153" s="207" t="s">
        <v>164</v>
      </c>
      <c r="B153" s="208"/>
      <c r="C153" s="209">
        <v>1776</v>
      </c>
      <c r="D153" s="209"/>
      <c r="E153" s="209"/>
      <c r="F153" s="209">
        <f t="shared" si="8"/>
        <v>1776</v>
      </c>
      <c r="G153" s="335"/>
      <c r="H153" s="187"/>
      <c r="I153" s="187"/>
      <c r="J153" s="187"/>
    </row>
    <row r="154" spans="1:16" s="180" customFormat="1" ht="21">
      <c r="A154" s="207" t="s">
        <v>162</v>
      </c>
      <c r="B154" s="208" t="s">
        <v>74</v>
      </c>
      <c r="C154" s="209">
        <v>2200</v>
      </c>
      <c r="D154" s="209"/>
      <c r="E154" s="209"/>
      <c r="F154" s="209">
        <f t="shared" si="8"/>
        <v>2200</v>
      </c>
      <c r="G154" s="187"/>
      <c r="H154" s="187"/>
      <c r="I154" s="187"/>
      <c r="J154" s="187">
        <f>C136+C137+C138+C139+C140</f>
        <v>4692.1354596825031</v>
      </c>
      <c r="N154" s="181" t="e">
        <f>C138+C139+C140+C141+C142+C143+#REF!+#REF!+#REF!+#REF!+#REF!+C144</f>
        <v>#REF!</v>
      </c>
    </row>
    <row r="155" spans="1:16" s="180" customFormat="1" ht="27" customHeight="1">
      <c r="A155" s="207" t="s">
        <v>24</v>
      </c>
      <c r="B155" s="208" t="s">
        <v>74</v>
      </c>
      <c r="C155" s="209">
        <v>850</v>
      </c>
      <c r="D155" s="209"/>
      <c r="E155" s="209"/>
      <c r="F155" s="209">
        <f t="shared" si="8"/>
        <v>850</v>
      </c>
      <c r="G155" s="187"/>
      <c r="H155" s="187"/>
      <c r="I155" s="187"/>
      <c r="J155" s="187" t="e">
        <f>C137+C138+C139+C140+#REF!</f>
        <v>#REF!</v>
      </c>
      <c r="N155" s="181" t="e">
        <f>F138+F139+F140+F141+F142+F143+#REF!+#REF!+#REF!+#REF!+#REF!+F144</f>
        <v>#REF!</v>
      </c>
    </row>
    <row r="156" spans="1:16" s="180" customFormat="1" ht="21">
      <c r="A156" s="207" t="s">
        <v>25</v>
      </c>
      <c r="B156" s="208" t="s">
        <v>74</v>
      </c>
      <c r="C156" s="209">
        <v>950</v>
      </c>
      <c r="D156" s="209"/>
      <c r="E156" s="209"/>
      <c r="F156" s="209">
        <f t="shared" si="8"/>
        <v>950</v>
      </c>
      <c r="G156" s="187"/>
      <c r="H156" s="187"/>
      <c r="I156" s="187"/>
      <c r="J156" s="187" t="e">
        <f>C138+C139+C140+#REF!+#REF!</f>
        <v>#REF!</v>
      </c>
    </row>
    <row r="157" spans="1:16" s="180" customFormat="1" ht="29.25" customHeight="1">
      <c r="A157" s="207" t="s">
        <v>26</v>
      </c>
      <c r="B157" s="208" t="s">
        <v>74</v>
      </c>
      <c r="C157" s="209">
        <v>650</v>
      </c>
      <c r="D157" s="209"/>
      <c r="E157" s="209"/>
      <c r="F157" s="209">
        <f t="shared" si="8"/>
        <v>650</v>
      </c>
      <c r="G157" s="187"/>
      <c r="H157" s="187"/>
      <c r="I157" s="187"/>
      <c r="J157" s="187" t="e">
        <f>C139+C140+#REF!+#REF!+C141</f>
        <v>#REF!</v>
      </c>
      <c r="P157" s="181"/>
    </row>
    <row r="158" spans="1:16" s="180" customFormat="1" ht="21">
      <c r="A158" s="207" t="s">
        <v>27</v>
      </c>
      <c r="B158" s="208" t="s">
        <v>74</v>
      </c>
      <c r="C158" s="209">
        <v>400</v>
      </c>
      <c r="D158" s="209"/>
      <c r="E158" s="209"/>
      <c r="F158" s="209">
        <f t="shared" si="8"/>
        <v>400</v>
      </c>
      <c r="G158" s="187"/>
      <c r="H158" s="187"/>
      <c r="I158" s="187"/>
      <c r="J158" s="187" t="e">
        <f>C140+#REF!+#REF!+C141+C142</f>
        <v>#REF!</v>
      </c>
    </row>
    <row r="159" spans="1:16" s="180" customFormat="1" ht="25.5" customHeight="1">
      <c r="A159" s="207" t="s">
        <v>169</v>
      </c>
      <c r="B159" s="208" t="s">
        <v>74</v>
      </c>
      <c r="C159" s="209">
        <f>4000-400-2.88</f>
        <v>3597.12</v>
      </c>
      <c r="D159" s="209"/>
      <c r="E159" s="209"/>
      <c r="F159" s="209">
        <f t="shared" si="8"/>
        <v>3597.12</v>
      </c>
      <c r="G159" s="187"/>
      <c r="H159" s="187"/>
      <c r="I159" s="187"/>
      <c r="J159" s="187" t="e">
        <f>#REF!+#REF!+C141+C142+C143</f>
        <v>#REF!</v>
      </c>
    </row>
    <row r="160" spans="1:16" s="180" customFormat="1" ht="36.75" customHeight="1">
      <c r="A160" s="207" t="s">
        <v>29</v>
      </c>
      <c r="B160" s="208" t="s">
        <v>74</v>
      </c>
      <c r="C160" s="209">
        <v>600</v>
      </c>
      <c r="D160" s="209"/>
      <c r="E160" s="209"/>
      <c r="F160" s="209">
        <f t="shared" si="8"/>
        <v>600</v>
      </c>
      <c r="G160" s="187"/>
      <c r="H160" s="187"/>
      <c r="I160" s="187"/>
      <c r="J160" s="187" t="e">
        <f>#REF!+C141+C142+C143+#REF!</f>
        <v>#REF!</v>
      </c>
    </row>
    <row r="161" spans="1:15" s="180" customFormat="1" ht="21">
      <c r="A161" s="207" t="s">
        <v>30</v>
      </c>
      <c r="B161" s="208" t="s">
        <v>74</v>
      </c>
      <c r="C161" s="209">
        <v>350</v>
      </c>
      <c r="D161" s="209"/>
      <c r="E161" s="209"/>
      <c r="F161" s="209">
        <f t="shared" si="8"/>
        <v>350</v>
      </c>
      <c r="G161" s="187"/>
      <c r="H161" s="187"/>
      <c r="I161" s="187"/>
      <c r="J161" s="187" t="e">
        <f>C141+C142+C143+#REF!+#REF!</f>
        <v>#REF!</v>
      </c>
    </row>
    <row r="162" spans="1:15" s="180" customFormat="1" ht="21">
      <c r="A162" s="207" t="s">
        <v>31</v>
      </c>
      <c r="B162" s="208" t="s">
        <v>74</v>
      </c>
      <c r="C162" s="209">
        <v>350</v>
      </c>
      <c r="D162" s="209"/>
      <c r="E162" s="209"/>
      <c r="F162" s="209">
        <f t="shared" si="8"/>
        <v>350</v>
      </c>
      <c r="G162" s="187"/>
      <c r="H162" s="187"/>
      <c r="I162" s="187"/>
      <c r="J162" s="187" t="e">
        <f>C142+C143+#REF!+#REF!+#REF!</f>
        <v>#REF!</v>
      </c>
    </row>
    <row r="163" spans="1:15" s="180" customFormat="1" ht="43.5" customHeight="1">
      <c r="A163" s="207" t="s">
        <v>32</v>
      </c>
      <c r="B163" s="208" t="s">
        <v>74</v>
      </c>
      <c r="C163" s="209">
        <v>350</v>
      </c>
      <c r="D163" s="209"/>
      <c r="E163" s="209"/>
      <c r="F163" s="209">
        <f t="shared" si="8"/>
        <v>350</v>
      </c>
      <c r="G163" s="187"/>
      <c r="H163" s="187"/>
      <c r="I163" s="187"/>
      <c r="J163" s="187" t="e">
        <f>C143+#REF!+#REF!+#REF!+#REF!</f>
        <v>#REF!</v>
      </c>
    </row>
    <row r="164" spans="1:15" s="180" customFormat="1" ht="21" hidden="1">
      <c r="A164" s="207"/>
      <c r="B164" s="208"/>
      <c r="C164" s="209"/>
      <c r="D164" s="209"/>
      <c r="E164" s="209"/>
      <c r="F164" s="209">
        <f t="shared" si="8"/>
        <v>0</v>
      </c>
      <c r="G164" s="187"/>
      <c r="H164" s="187"/>
      <c r="I164" s="187"/>
      <c r="J164" s="187" t="e">
        <f>#REF!+#REF!+#REF!+C144+C146</f>
        <v>#REF!</v>
      </c>
    </row>
    <row r="165" spans="1:15" s="180" customFormat="1" ht="21">
      <c r="A165" s="207" t="s">
        <v>158</v>
      </c>
      <c r="B165" s="208" t="s">
        <v>74</v>
      </c>
      <c r="C165" s="209">
        <f>427+525.6</f>
        <v>952.6</v>
      </c>
      <c r="D165" s="209"/>
      <c r="E165" s="209"/>
      <c r="F165" s="209">
        <f t="shared" si="8"/>
        <v>952.6</v>
      </c>
      <c r="G165" s="187"/>
      <c r="H165" s="187"/>
      <c r="I165" s="187"/>
      <c r="J165" s="187" t="e">
        <f>#REF!+#REF!+#REF!+C144+C146</f>
        <v>#REF!</v>
      </c>
      <c r="O165" s="181"/>
    </row>
    <row r="166" spans="1:15" s="180" customFormat="1" ht="21">
      <c r="A166" s="207" t="s">
        <v>161</v>
      </c>
      <c r="B166" s="208" t="s">
        <v>74</v>
      </c>
      <c r="C166" s="209">
        <f>427</f>
        <v>427</v>
      </c>
      <c r="D166" s="209"/>
      <c r="E166" s="209"/>
      <c r="F166" s="209">
        <f t="shared" si="8"/>
        <v>427</v>
      </c>
      <c r="G166" s="335"/>
      <c r="H166" s="187"/>
      <c r="I166" s="187"/>
      <c r="J166" s="187" t="e">
        <f>#REF!+C144+C146+C147+C148</f>
        <v>#REF!</v>
      </c>
      <c r="O166" s="181"/>
    </row>
    <row r="167" spans="1:15" ht="18">
      <c r="A167" s="171" t="s">
        <v>53</v>
      </c>
      <c r="B167" s="172"/>
      <c r="C167" s="336">
        <f>SUBTOTAL(109,C149:C166)</f>
        <v>22429.32</v>
      </c>
      <c r="D167" s="173">
        <f>SUBTOTAL(109,D149:D166)</f>
        <v>0</v>
      </c>
      <c r="E167" s="173">
        <f>SUBTOTAL(109,E149:E166)</f>
        <v>0</v>
      </c>
      <c r="F167" s="173">
        <f>SUBTOTAL(109,F149:F166)</f>
        <v>22429.32</v>
      </c>
      <c r="G167" s="168"/>
      <c r="H167" s="168"/>
      <c r="I167" s="168"/>
      <c r="J167" s="168"/>
    </row>
    <row r="169" spans="1:15">
      <c r="C169" s="176">
        <v>22429.32</v>
      </c>
      <c r="D169" s="177">
        <f>2092.87-C136</f>
        <v>0</v>
      </c>
    </row>
    <row r="170" spans="1:15">
      <c r="C170" s="177"/>
    </row>
    <row r="171" spans="1:15">
      <c r="C171" s="177">
        <f>C167-C169</f>
        <v>0</v>
      </c>
    </row>
  </sheetData>
  <mergeCells count="7">
    <mergeCell ref="A147:D147"/>
    <mergeCell ref="A128:D128"/>
    <mergeCell ref="A5:E5"/>
    <mergeCell ref="A15:E15"/>
    <mergeCell ref="A35:D35"/>
    <mergeCell ref="A60:D60"/>
    <mergeCell ref="A99:D99"/>
  </mergeCells>
  <phoneticPr fontId="3" type="noConversion"/>
  <pageMargins left="0.7" right="0.7" top="0.75" bottom="0.75" header="0.3" footer="0.3"/>
  <pageSetup paperSize="9" scale="59" fitToHeight="0" orientation="landscape" r:id="rId1"/>
  <rowBreaks count="1" manualBreakCount="1">
    <brk id="35" max="5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2020</vt:lpstr>
      <vt:lpstr>2021</vt:lpstr>
      <vt:lpstr>2023</vt:lpstr>
      <vt:lpstr>2023 уточнение</vt:lpstr>
      <vt:lpstr>Лист1</vt:lpstr>
      <vt:lpstr>'2020'!Область_печати</vt:lpstr>
      <vt:lpstr>'2021'!Область_печати</vt:lpstr>
      <vt:lpstr>'2023'!Область_печати</vt:lpstr>
      <vt:lpstr>'2023 уточнение'!Область_печати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REDPC</cp:lastModifiedBy>
  <cp:lastPrinted>2023-10-31T07:06:31Z</cp:lastPrinted>
  <dcterms:created xsi:type="dcterms:W3CDTF">2015-06-05T18:17:20Z</dcterms:created>
  <dcterms:modified xsi:type="dcterms:W3CDTF">2023-11-03T09:12:46Z</dcterms:modified>
</cp:coreProperties>
</file>