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3.xml" ContentType="application/vnd.openxmlformats-officedocument.spreadsheetml.table+xml"/>
  <Override PartName="/xl/tables/table2.xml" ContentType="application/vnd.openxmlformats-officedocument.spreadsheetml.table+xml"/>
  <Override PartName="/xl/tables/table1.xml" ContentType="application/vnd.openxmlformats-officedocument.spreadsheetml.table+xml"/>
  <Override PartName="/xl/tables/table5.xml" ContentType="application/vnd.openxmlformats-officedocument.spreadsheetml.table+xml"/>
  <Override PartName="/xl/tables/table4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12504" windowHeight="9432" activeTab="2"/>
  </bookViews>
  <sheets>
    <sheet name="2020" sheetId="1" r:id="rId1"/>
    <sheet name="2021" sheetId="2" r:id="rId2"/>
    <sheet name="2022" sheetId="3" r:id="rId3"/>
    <sheet name="2023" sheetId="4" r:id="rId4"/>
    <sheet name="2024" sheetId="5" r:id="rId5"/>
    <sheet name="2025" sheetId="6" r:id="rId6"/>
  </sheets>
  <definedNames>
    <definedName name="_xlnm.Print_Area" localSheetId="0">'2020'!$A$1:$F$145</definedName>
    <definedName name="_xlnm.Print_Area" localSheetId="1">'2020'!$A$35:$E$59</definedName>
    <definedName name="_xlnm.Print_Area" localSheetId="2">'2022'!$A$1:$F$139</definedName>
    <definedName name="_xlnm.Print_Area" localSheetId="3">'2020'!$A$79:$E$94</definedName>
    <definedName name="_xlnm.Print_Area" localSheetId="4">'2020'!$A$95:$E$114</definedName>
    <definedName name="_xlnm.Print_Area" localSheetId="5">'2020'!$A$115:$E$139</definedName>
  </definedNames>
  <calcPr fullCalcOnLoad="1"/>
</workbook>
</file>

<file path=xl/sharedStrings.xml><?xml version="1.0" encoding="utf-8"?>
<sst xmlns="http://schemas.openxmlformats.org/spreadsheetml/2006/main" count="518" uniqueCount="121">
  <si>
    <t>Наименование мероприятия</t>
  </si>
  <si>
    <t>Областной бюджет</t>
  </si>
  <si>
    <t>Местный бюджет</t>
  </si>
  <si>
    <t>Федеральный Бюджет</t>
  </si>
  <si>
    <t>Ремонт автодороги "Москва-Киев-Перемышль"-д.Н.Подгоричи (2,3 км)</t>
  </si>
  <si>
    <t>Установка ограждений в соответствии с новыми национальными стандартами по обустройству пешеходных переходов в районе МКОУ «Перемышельская СОШ» и ГБПОУ КО «Перемышльский техникум эксплуатации транспорта»</t>
  </si>
  <si>
    <t>Ремонт автомобильной дороги  по ул. Федеративная в с. Перемышль Перемышльского района</t>
  </si>
  <si>
    <t>Ремонт автомобильной дороги по ул. Трубникова в с. Перемышль (без песка)</t>
  </si>
  <si>
    <t>Ремонт автомобильной дороги "Голодское-Суворов-Одоев"-Мехово в Перемышльском районе</t>
  </si>
  <si>
    <t>Ремонт улично-дорожной сети д. Хохловка Перемышльского района Калужской области</t>
  </si>
  <si>
    <t xml:space="preserve">ремонт улично-дорожной сети с. Перемышль Перемышльского района Калужской области (автомобильные дороги)                                                       </t>
  </si>
  <si>
    <t xml:space="preserve">ремонт улично-дорожной сети с. Перемышль Перемышльского района Калужской области (тротуары)    </t>
  </si>
  <si>
    <t>Ремонт автомобильной дороги "1Р-132 Калуга-Тула-Михайлов-Рязань" - Рождественно в Перемышльском районе, протяженностью 3,2 км</t>
  </si>
  <si>
    <t xml:space="preserve">Ремонт автомобильной дороги по д. Песочня в Перемышльском районе, протяженностью 0,953 км </t>
  </si>
  <si>
    <t xml:space="preserve">Ремонт участка автомобильной дороги по улице Школьная в с. Калужская опытная сельскохозяйственная станция
</t>
  </si>
  <si>
    <t>Стр. Контроль(Песочня, ОПХ)</t>
  </si>
  <si>
    <t>Диагностика БДД</t>
  </si>
  <si>
    <t>СтройКонтроль</t>
  </si>
  <si>
    <t>Паспортизация автомобильных дорог</t>
  </si>
  <si>
    <t>Ремонтные работы после весеннего обследования</t>
  </si>
  <si>
    <t>Ремонт автодороги д. Хотисино - д. Холмы</t>
  </si>
  <si>
    <t>Ремонт автодороги "Калуга-Тула"- д.Крутицы</t>
  </si>
  <si>
    <t>д. Н. Косьмово - д. В. Косьмово</t>
  </si>
  <si>
    <t xml:space="preserve"> "Калуга -Козельск" - Пионер  лагеря </t>
  </si>
  <si>
    <t>Ремонт участка автодороги по д.Зимницы</t>
  </si>
  <si>
    <t>Ремонт участка автодороги по с.Макарово (уч.№1, уч.№3, ул.Северная)</t>
  </si>
  <si>
    <t>Ремонт участка автодороги по ул. Ленина с. Перемышль</t>
  </si>
  <si>
    <t>Ремонт участка автодороги по ул. Красноармейская с. Перемышль</t>
  </si>
  <si>
    <t>Ремонт участка автодороги по ул. Коммунистическая с. Перемышль</t>
  </si>
  <si>
    <t>Ремонт участка автодороги по ул. Коммунаров с. Перемышль</t>
  </si>
  <si>
    <t>Ремонт участка автодороги по ул. Красный Октябрь с. Перемышль</t>
  </si>
  <si>
    <t>Ремонт участка автодороги по ул. Зеленая с. Перемышль</t>
  </si>
  <si>
    <t>Ремонт участка автодороги по ул. Федеративная с. Перемышль</t>
  </si>
  <si>
    <t>автодорога по д.Песочня</t>
  </si>
  <si>
    <t>автодорога по деревне Погореловка</t>
  </si>
  <si>
    <t>автодорога по д.Хотисино</t>
  </si>
  <si>
    <t>автодорога по с.Рождественно</t>
  </si>
  <si>
    <t>автодорога по д.Верхнее Косьмово</t>
  </si>
  <si>
    <t>автодорога по д.Крутицы</t>
  </si>
  <si>
    <t>автодорога по д.Большие Сушки</t>
  </si>
  <si>
    <t>автодорога по д.Ладыгино</t>
  </si>
  <si>
    <t>Приложение к постановлению</t>
  </si>
  <si>
    <t xml:space="preserve">администрации муниципального района </t>
  </si>
  <si>
    <t>«Перемышльский район»</t>
  </si>
  <si>
    <t xml:space="preserve">6. Перечень мероприятий
Муниципальной программы «Развитие дорожного хозяйства в муниципальном районе «Перемышльский район» на период 2020-2025 годов» </t>
  </si>
  <si>
    <t>Объем расходов на реализацию программы, тыс.руб.</t>
  </si>
  <si>
    <t>Таблица итогов по годам реализации</t>
  </si>
  <si>
    <t>2020 год</t>
  </si>
  <si>
    <t>2021 год</t>
  </si>
  <si>
    <t>2022 год</t>
  </si>
  <si>
    <t>2023 год</t>
  </si>
  <si>
    <t>2024 год</t>
  </si>
  <si>
    <t>2025 год</t>
  </si>
  <si>
    <t>Итог</t>
  </si>
  <si>
    <t>Содержание улично-дорожной сети</t>
  </si>
  <si>
    <t>Сумма</t>
  </si>
  <si>
    <t>Ремонт автодороги по д. Горки</t>
  </si>
  <si>
    <t>Ремонт автодороги Красноармейская</t>
  </si>
  <si>
    <t>Тротуар по ул. Республиканская</t>
  </si>
  <si>
    <t>Ремонт тротуара по ул. Ленина, ул. Советская</t>
  </si>
  <si>
    <t>Стоянка детский сад Радуга</t>
  </si>
  <si>
    <t>Национальный проект "Безопасные Качественные Дороги"</t>
  </si>
  <si>
    <t>Ремонт, реконструкция и содержание автомобильных дорог общего пользования местного значения</t>
  </si>
  <si>
    <t>Год реализации</t>
  </si>
  <si>
    <t>Ремонт автомобильной дороги "Автодорога по д. Горки (уч. № 1 и уч. №2)" Перемышльского района</t>
  </si>
  <si>
    <t xml:space="preserve">Прокладка труб 530мм методом ГНБ (УСН)          </t>
  </si>
  <si>
    <t>Разработка проекта организации дорожного движения</t>
  </si>
  <si>
    <t>Ремонт автомобильной дороги М-3 "Украина" - Перемышль" - Нижние Подгоричи, протяженностью 2,3 км</t>
  </si>
  <si>
    <t>Ремонт автомобильной дороги "1Р-132 Калуга-Тула-Михайлов-Рязань"-Рождествено в Перемышльском районе, протяженностью 3,2 км.</t>
  </si>
  <si>
    <t>Тротуар по ул. Гагарина от д.1</t>
  </si>
  <si>
    <t>2021</t>
  </si>
  <si>
    <t>2022</t>
  </si>
  <si>
    <t>2023</t>
  </si>
  <si>
    <t>2024</t>
  </si>
  <si>
    <t>2025</t>
  </si>
  <si>
    <t>Диагностика (БКД)</t>
  </si>
  <si>
    <t>Паспортизация</t>
  </si>
  <si>
    <t>Ремонт трубопереезда  на а/д д.Корекозево – д.Киреево</t>
  </si>
  <si>
    <t>Ремонт а/д по ул. Михаила Замулаева  с. Перемышль</t>
  </si>
  <si>
    <t>Стройконтроль</t>
  </si>
  <si>
    <t xml:space="preserve">ремонт автомобильной дороги "д.Голодское-Суворов-Одоев" - д.Мехово в Перемышльском районе, протяженностью 3,5 км  </t>
  </si>
  <si>
    <t>ремонт автомобильной дороги  1Р132 "Калуга-Тула-Михайлов-Рязань" - д.Будаково в Перемышльском районе, протяженностью 1,20 км</t>
  </si>
  <si>
    <t xml:space="preserve"> ремонт автомобильной дороги "Калуга-Тула" - д.Н.Косьмово в Перемышльском районе, протяженностью 1,75 км</t>
  </si>
  <si>
    <t>ремонт автомобильной дороги с.Калужская опытная сельскохозяйственная станция - д.Столпово в Перемышльском районе, протяженностью 1,760 км</t>
  </si>
  <si>
    <t xml:space="preserve"> ремонт автомобильной дороги Р-132 "Калуга-Тула-Михайлов-Рязань" - Фитинино в Перемышльском районе, протяженностью 2,0 км</t>
  </si>
  <si>
    <t>Ремонт автомобильной  дороги по  д.Сильково Перемышльского района, протяженностью 1,45 км</t>
  </si>
  <si>
    <t xml:space="preserve">Ремонт автомобильной  дороги по  д.Покровское Перемышльского района, протяженностью 1,5 км </t>
  </si>
  <si>
    <t>Диагностика автомобильных дорог</t>
  </si>
  <si>
    <t>Ремонт автомобильной дороги Новоселки-Головнино в Перемышльском районе, протяженностью 4,0 км</t>
  </si>
  <si>
    <t xml:space="preserve">Ремонт автомобильной дороги по ул. Лесной и ул. Гагарина в с. Перемышль, протяженностью 0,750 км             </t>
  </si>
  <si>
    <t>Восстановление тротуара на трубопереезде по ул. Ленина в районе д.42</t>
  </si>
  <si>
    <t xml:space="preserve">Ремонт улично-дорожной сети с. Перемышль Перемышльского района Калужской области </t>
  </si>
  <si>
    <t>Ремонт тротуара по ул. Суворова</t>
  </si>
  <si>
    <t>Ремонт автодороги по с.Борищево</t>
  </si>
  <si>
    <t>Ремонт автодороги по Григоровское</t>
  </si>
  <si>
    <t>Ремонт автодороги по с. Ахлебинино</t>
  </si>
  <si>
    <t>Показатели результативности</t>
  </si>
  <si>
    <t>Наименование индикатора</t>
  </si>
  <si>
    <t>единица измерения</t>
  </si>
  <si>
    <t>значение индикатора, год</t>
  </si>
  <si>
    <t>Сокращение доли автомобильных дорог местного значения, не соотвествующих нормативным требованиям</t>
  </si>
  <si>
    <t>%</t>
  </si>
  <si>
    <t>протяженность автомобильных дорог общего пользования местного значения МР "Перемышльский район, вводимых в эксплуатацию после ремонта и реконструкции</t>
  </si>
  <si>
    <t>км</t>
  </si>
  <si>
    <t>от «___» марта  2021 г. № _______</t>
  </si>
  <si>
    <t xml:space="preserve">Мероприятия </t>
  </si>
  <si>
    <t>Столбец1</t>
  </si>
  <si>
    <t>Развитие сети автомобильных дорог</t>
  </si>
  <si>
    <t>Реализация мероприятий"Совершенствование и развитие сети автомобильных дорог Калужской области</t>
  </si>
  <si>
    <t>Столбец2</t>
  </si>
  <si>
    <t>102 616,57</t>
  </si>
  <si>
    <t>Ремонт автодороги по с.Премышль ул. Дачная</t>
  </si>
  <si>
    <t>Ремонт автодороги по д. верхнее Алопово</t>
  </si>
  <si>
    <t>Столбец3</t>
  </si>
  <si>
    <t>Автодорога по д.Василенки</t>
  </si>
  <si>
    <t>Автодорога по с.Ильинское</t>
  </si>
  <si>
    <t>Автодорога по д.Хотисино</t>
  </si>
  <si>
    <t>Автодорога по д.Зимницы</t>
  </si>
  <si>
    <t>Столбец4</t>
  </si>
  <si>
    <t>5 684,00</t>
  </si>
  <si>
    <t>от «15» марта  2022 г. № 213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</si>
</sst>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00"/>
    <numFmt numFmtId="165" formatCode="0.000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8"/>
      <color indexed="8"/>
      <name val="Times New Roman"/>
      <family val="1"/>
    </font>
    <font>
      <sz val="16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1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8"/>
      <name val="Times New Roman"/>
      <family val="1"/>
    </font>
    <font>
      <u val="single"/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0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u val="single"/>
      <sz val="11"/>
      <color theme="1"/>
      <name val="Times New Roman"/>
      <family val="1"/>
    </font>
    <font>
      <u val="single"/>
      <sz val="11"/>
      <color theme="1"/>
      <name val="Calibri"/>
      <family val="2"/>
    </font>
    <font>
      <b/>
      <sz val="18"/>
      <color theme="1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/>
      <top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12" fillId="0" borderId="0">
      <alignment/>
      <protection/>
    </xf>
    <xf numFmtId="4" fontId="36" fillId="20" borderId="1">
      <alignment horizontal="right" vertical="top" shrinkToFit="1"/>
      <protection/>
    </xf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7" fillId="27" borderId="2" applyNumberFormat="0" applyAlignment="0" applyProtection="0"/>
    <xf numFmtId="0" fontId="38" fillId="28" borderId="3" applyNumberFormat="0" applyAlignment="0" applyProtection="0"/>
    <xf numFmtId="0" fontId="39" fillId="28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4" fillId="29" borderId="8" applyNumberFormat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0" fillId="0" borderId="0">
      <alignment/>
      <protection/>
    </xf>
    <xf numFmtId="0" fontId="47" fillId="31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49" fillId="0" borderId="10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3" borderId="0" applyNumberFormat="0" applyBorder="0" applyAlignment="0" applyProtection="0"/>
  </cellStyleXfs>
  <cellXfs count="138">
    <xf numFmtId="0" fontId="0" fillId="0" borderId="0" xfId="0" applyFont="1" applyAlignment="1">
      <alignment/>
    </xf>
    <xf numFmtId="0" fontId="52" fillId="0" borderId="0" xfId="0" applyFont="1" applyAlignment="1">
      <alignment horizontal="left" vertical="center" wrapText="1"/>
    </xf>
    <xf numFmtId="4" fontId="52" fillId="0" borderId="0" xfId="0" applyNumberFormat="1" applyFont="1" applyAlignment="1">
      <alignment horizontal="center" vertical="center"/>
    </xf>
    <xf numFmtId="4" fontId="52" fillId="0" borderId="11" xfId="0" applyNumberFormat="1" applyFont="1" applyBorder="1" applyAlignment="1">
      <alignment horizontal="center" vertical="center"/>
    </xf>
    <xf numFmtId="4" fontId="52" fillId="0" borderId="0" xfId="0" applyNumberFormat="1" applyFont="1" applyBorder="1" applyAlignment="1">
      <alignment horizontal="right" vertical="center"/>
    </xf>
    <xf numFmtId="0" fontId="53" fillId="0" borderId="0" xfId="0" applyFont="1" applyAlignment="1">
      <alignment horizontal="centerContinuous" vertical="center"/>
    </xf>
    <xf numFmtId="0" fontId="0" fillId="0" borderId="0" xfId="0" applyAlignment="1">
      <alignment vertical="center"/>
    </xf>
    <xf numFmtId="0" fontId="52" fillId="34" borderId="11" xfId="0" applyFont="1" applyFill="1" applyBorder="1" applyAlignment="1">
      <alignment horizontal="left" vertical="center" wrapText="1"/>
    </xf>
    <xf numFmtId="4" fontId="52" fillId="34" borderId="11" xfId="0" applyNumberFormat="1" applyFont="1" applyFill="1" applyBorder="1" applyAlignment="1">
      <alignment horizontal="center" vertical="center"/>
    </xf>
    <xf numFmtId="0" fontId="52" fillId="0" borderId="11" xfId="0" applyFont="1" applyBorder="1" applyAlignment="1">
      <alignment horizontal="left" vertical="center" wrapText="1"/>
    </xf>
    <xf numFmtId="4" fontId="52" fillId="0" borderId="11" xfId="0" applyNumberFormat="1" applyFont="1" applyFill="1" applyBorder="1" applyAlignment="1">
      <alignment horizontal="centerContinuous" vertical="center"/>
    </xf>
    <xf numFmtId="4" fontId="0" fillId="0" borderId="0" xfId="0" applyNumberFormat="1" applyAlignment="1">
      <alignment/>
    </xf>
    <xf numFmtId="4" fontId="8" fillId="0" borderId="11" xfId="0" applyNumberFormat="1" applyFont="1" applyFill="1" applyBorder="1" applyAlignment="1">
      <alignment horizontal="center" vertical="center"/>
    </xf>
    <xf numFmtId="4" fontId="52" fillId="0" borderId="11" xfId="0" applyNumberFormat="1" applyFont="1" applyFill="1" applyBorder="1" applyAlignment="1">
      <alignment horizontal="center" vertical="center"/>
    </xf>
    <xf numFmtId="4" fontId="0" fillId="0" borderId="11" xfId="0" applyNumberFormat="1" applyBorder="1" applyAlignment="1">
      <alignment horizontal="center" vertical="center"/>
    </xf>
    <xf numFmtId="4" fontId="53" fillId="0" borderId="12" xfId="0" applyNumberFormat="1" applyFont="1" applyFill="1" applyBorder="1" applyAlignment="1">
      <alignment horizontal="center" vertical="center"/>
    </xf>
    <xf numFmtId="49" fontId="52" fillId="0" borderId="13" xfId="0" applyNumberFormat="1" applyFont="1" applyBorder="1" applyAlignment="1">
      <alignment horizontal="center"/>
    </xf>
    <xf numFmtId="49" fontId="52" fillId="0" borderId="14" xfId="0" applyNumberFormat="1" applyFont="1" applyBorder="1" applyAlignment="1">
      <alignment horizontal="center"/>
    </xf>
    <xf numFmtId="49" fontId="52" fillId="0" borderId="15" xfId="0" applyNumberFormat="1" applyFont="1" applyBorder="1" applyAlignment="1">
      <alignment horizontal="center"/>
    </xf>
    <xf numFmtId="4" fontId="52" fillId="0" borderId="16" xfId="0" applyNumberFormat="1" applyFont="1" applyBorder="1" applyAlignment="1">
      <alignment horizontal="center" vertical="center"/>
    </xf>
    <xf numFmtId="4" fontId="54" fillId="20" borderId="1" xfId="34" applyFont="1">
      <alignment horizontal="right" vertical="top" shrinkToFit="1"/>
      <protection/>
    </xf>
    <xf numFmtId="4" fontId="52" fillId="0" borderId="0" xfId="0" applyNumberFormat="1" applyFont="1" applyAlignment="1">
      <alignment/>
    </xf>
    <xf numFmtId="4" fontId="52" fillId="0" borderId="0" xfId="0" applyNumberFormat="1" applyFont="1" applyAlignment="1">
      <alignment horizontal="center"/>
    </xf>
    <xf numFmtId="4" fontId="52" fillId="0" borderId="0" xfId="0" applyNumberFormat="1" applyFont="1" applyAlignment="1">
      <alignment wrapText="1"/>
    </xf>
    <xf numFmtId="4" fontId="55" fillId="0" borderId="0" xfId="0" applyNumberFormat="1" applyFont="1" applyAlignment="1">
      <alignment wrapText="1"/>
    </xf>
    <xf numFmtId="4" fontId="52" fillId="0" borderId="11" xfId="0" applyNumberFormat="1" applyFont="1" applyFill="1" applyBorder="1" applyAlignment="1">
      <alignment wrapText="1"/>
    </xf>
    <xf numFmtId="4" fontId="52" fillId="0" borderId="11" xfId="0" applyNumberFormat="1" applyFont="1" applyFill="1" applyBorder="1" applyAlignment="1">
      <alignment horizontal="left" vertical="center" wrapText="1"/>
    </xf>
    <xf numFmtId="164" fontId="52" fillId="0" borderId="0" xfId="0" applyNumberFormat="1" applyFont="1" applyAlignment="1">
      <alignment/>
    </xf>
    <xf numFmtId="164" fontId="8" fillId="0" borderId="17" xfId="0" applyNumberFormat="1" applyFont="1" applyFill="1" applyBorder="1" applyAlignment="1">
      <alignment horizontal="center" vertical="center"/>
    </xf>
    <xf numFmtId="164" fontId="52" fillId="35" borderId="0" xfId="0" applyNumberFormat="1" applyFont="1" applyFill="1" applyAlignment="1">
      <alignment/>
    </xf>
    <xf numFmtId="164" fontId="52" fillId="36" borderId="0" xfId="0" applyNumberFormat="1" applyFont="1" applyFill="1" applyAlignment="1">
      <alignment/>
    </xf>
    <xf numFmtId="164" fontId="52" fillId="37" borderId="0" xfId="0" applyNumberFormat="1" applyFont="1" applyFill="1" applyAlignment="1">
      <alignment/>
    </xf>
    <xf numFmtId="4" fontId="52" fillId="0" borderId="18" xfId="0" applyNumberFormat="1" applyFont="1" applyBorder="1" applyAlignment="1">
      <alignment horizontal="center" vertical="center"/>
    </xf>
    <xf numFmtId="4" fontId="13" fillId="38" borderId="11" xfId="33" applyNumberFormat="1" applyFont="1" applyFill="1" applyBorder="1" applyAlignment="1">
      <alignment horizontal="left" vertical="center" wrapText="1"/>
      <protection/>
    </xf>
    <xf numFmtId="4" fontId="0" fillId="0" borderId="11" xfId="0" applyNumberFormat="1" applyBorder="1" applyAlignment="1">
      <alignment/>
    </xf>
    <xf numFmtId="4" fontId="0" fillId="37" borderId="11" xfId="0" applyNumberFormat="1" applyFill="1" applyBorder="1" applyAlignment="1">
      <alignment/>
    </xf>
    <xf numFmtId="4" fontId="0" fillId="0" borderId="11" xfId="0" applyNumberFormat="1" applyFill="1" applyBorder="1" applyAlignment="1">
      <alignment/>
    </xf>
    <xf numFmtId="49" fontId="52" fillId="0" borderId="0" xfId="0" applyNumberFormat="1" applyFont="1" applyAlignment="1">
      <alignment horizontal="center" vertical="center"/>
    </xf>
    <xf numFmtId="49" fontId="53" fillId="0" borderId="12" xfId="0" applyNumberFormat="1" applyFont="1" applyFill="1" applyBorder="1" applyAlignment="1">
      <alignment horizontal="center" vertical="center"/>
    </xf>
    <xf numFmtId="49" fontId="53" fillId="0" borderId="0" xfId="0" applyNumberFormat="1" applyFont="1" applyAlignment="1">
      <alignment horizontal="center" vertical="center"/>
    </xf>
    <xf numFmtId="4" fontId="53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2" fillId="0" borderId="0" xfId="0" applyFont="1" applyAlignment="1">
      <alignment horizontal="center" vertical="center"/>
    </xf>
    <xf numFmtId="4" fontId="52" fillId="0" borderId="19" xfId="0" applyNumberFormat="1" applyFont="1" applyBorder="1" applyAlignment="1">
      <alignment horizontal="center" vertical="center"/>
    </xf>
    <xf numFmtId="4" fontId="56" fillId="0" borderId="11" xfId="0" applyNumberFormat="1" applyFont="1" applyBorder="1" applyAlignment="1">
      <alignment horizontal="center" vertical="center"/>
    </xf>
    <xf numFmtId="4" fontId="13" fillId="0" borderId="11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" fontId="52" fillId="0" borderId="11" xfId="0" applyNumberFormat="1" applyFont="1" applyBorder="1" applyAlignment="1">
      <alignment horizontal="centerContinuous" vertical="center"/>
    </xf>
    <xf numFmtId="49" fontId="0" fillId="0" borderId="11" xfId="0" applyNumberFormat="1" applyBorder="1" applyAlignment="1">
      <alignment horizontal="center" vertical="center"/>
    </xf>
    <xf numFmtId="49" fontId="53" fillId="0" borderId="11" xfId="0" applyNumberFormat="1" applyFont="1" applyBorder="1" applyAlignment="1">
      <alignment horizontal="centerContinuous" vertical="center"/>
    </xf>
    <xf numFmtId="4" fontId="13" fillId="38" borderId="11" xfId="33" applyNumberFormat="1" applyFont="1" applyFill="1" applyBorder="1" applyAlignment="1">
      <alignment horizontal="left" vertical="center" wrapText="1"/>
      <protection/>
    </xf>
    <xf numFmtId="0" fontId="52" fillId="0" borderId="11" xfId="0" applyFont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Continuous" vertical="center"/>
    </xf>
    <xf numFmtId="0" fontId="0" fillId="0" borderId="11" xfId="0" applyBorder="1" applyAlignment="1">
      <alignment horizontal="centerContinuous"/>
    </xf>
    <xf numFmtId="0" fontId="53" fillId="0" borderId="11" xfId="0" applyFont="1" applyBorder="1" applyAlignment="1">
      <alignment horizontal="center" vertical="center" wrapText="1"/>
    </xf>
    <xf numFmtId="49" fontId="53" fillId="0" borderId="11" xfId="0" applyNumberFormat="1" applyFont="1" applyBorder="1" applyAlignment="1">
      <alignment horizontal="center" vertical="center"/>
    </xf>
    <xf numFmtId="4" fontId="53" fillId="0" borderId="11" xfId="0" applyNumberFormat="1" applyFont="1" applyBorder="1" applyAlignment="1">
      <alignment horizontal="center" vertical="center"/>
    </xf>
    <xf numFmtId="49" fontId="52" fillId="34" borderId="11" xfId="0" applyNumberFormat="1" applyFont="1" applyFill="1" applyBorder="1" applyAlignment="1">
      <alignment horizontal="center" vertical="center"/>
    </xf>
    <xf numFmtId="0" fontId="52" fillId="34" borderId="11" xfId="0" applyFont="1" applyFill="1" applyBorder="1" applyAlignment="1">
      <alignment horizontal="right" vertical="center" wrapText="1"/>
    </xf>
    <xf numFmtId="0" fontId="0" fillId="0" borderId="11" xfId="0" applyBorder="1" applyAlignment="1">
      <alignment/>
    </xf>
    <xf numFmtId="4" fontId="7" fillId="0" borderId="11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/>
    </xf>
    <xf numFmtId="4" fontId="7" fillId="0" borderId="11" xfId="0" applyNumberFormat="1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/>
    </xf>
    <xf numFmtId="4" fontId="8" fillId="0" borderId="11" xfId="0" applyNumberFormat="1" applyFont="1" applyFill="1" applyBorder="1" applyAlignment="1">
      <alignment horizontal="right" vertical="center" wrapText="1"/>
    </xf>
    <xf numFmtId="4" fontId="53" fillId="0" borderId="11" xfId="0" applyNumberFormat="1" applyFont="1" applyFill="1" applyBorder="1" applyAlignment="1">
      <alignment horizontal="center" vertical="center" wrapText="1"/>
    </xf>
    <xf numFmtId="49" fontId="53" fillId="0" borderId="11" xfId="0" applyNumberFormat="1" applyFont="1" applyFill="1" applyBorder="1" applyAlignment="1">
      <alignment horizontal="center" vertical="center"/>
    </xf>
    <xf numFmtId="4" fontId="53" fillId="0" borderId="11" xfId="0" applyNumberFormat="1" applyFont="1" applyFill="1" applyBorder="1" applyAlignment="1">
      <alignment horizontal="center" vertical="center"/>
    </xf>
    <xf numFmtId="49" fontId="52" fillId="0" borderId="11" xfId="0" applyNumberFormat="1" applyFont="1" applyFill="1" applyBorder="1" applyAlignment="1">
      <alignment horizontal="center" vertical="center"/>
    </xf>
    <xf numFmtId="4" fontId="53" fillId="0" borderId="11" xfId="0" applyNumberFormat="1" applyFont="1" applyFill="1" applyBorder="1" applyAlignment="1">
      <alignment horizontal="centerContinuous" vertical="center" wrapText="1"/>
    </xf>
    <xf numFmtId="49" fontId="52" fillId="0" borderId="11" xfId="0" applyNumberFormat="1" applyFont="1" applyFill="1" applyBorder="1" applyAlignment="1">
      <alignment horizontal="centerContinuous" vertical="center"/>
    </xf>
    <xf numFmtId="4" fontId="56" fillId="0" borderId="11" xfId="0" applyNumberFormat="1" applyFont="1" applyFill="1" applyBorder="1" applyAlignment="1">
      <alignment horizontal="center" vertical="center"/>
    </xf>
    <xf numFmtId="4" fontId="52" fillId="0" borderId="11" xfId="0" applyNumberFormat="1" applyFont="1" applyFill="1" applyBorder="1" applyAlignment="1">
      <alignment horizontal="right" vertical="center" wrapText="1"/>
    </xf>
    <xf numFmtId="0" fontId="0" fillId="0" borderId="11" xfId="0" applyBorder="1" applyAlignment="1">
      <alignment horizontal="center" vertical="center"/>
    </xf>
    <xf numFmtId="0" fontId="53" fillId="0" borderId="11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left" vertical="center" wrapText="1"/>
    </xf>
    <xf numFmtId="0" fontId="52" fillId="0" borderId="11" xfId="0" applyFont="1" applyFill="1" applyBorder="1" applyAlignment="1">
      <alignment horizontal="right" vertical="center" wrapText="1"/>
    </xf>
    <xf numFmtId="0" fontId="57" fillId="0" borderId="11" xfId="54" applyFont="1" applyBorder="1" applyAlignment="1">
      <alignment wrapText="1"/>
      <protection/>
    </xf>
    <xf numFmtId="4" fontId="58" fillId="0" borderId="0" xfId="0" applyNumberFormat="1" applyFont="1" applyAlignment="1">
      <alignment/>
    </xf>
    <xf numFmtId="0" fontId="56" fillId="0" borderId="11" xfId="54" applyFont="1" applyBorder="1" applyAlignment="1">
      <alignment wrapText="1"/>
      <protection/>
    </xf>
    <xf numFmtId="0" fontId="52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8" fillId="0" borderId="11" xfId="0" applyFont="1" applyFill="1" applyBorder="1" applyAlignment="1">
      <alignment horizontal="center" vertical="center"/>
    </xf>
    <xf numFmtId="4" fontId="7" fillId="0" borderId="0" xfId="0" applyNumberFormat="1" applyFont="1" applyFill="1" applyAlignment="1">
      <alignment horizontal="center" vertical="center"/>
    </xf>
    <xf numFmtId="4" fontId="52" fillId="38" borderId="11" xfId="0" applyNumberFormat="1" applyFont="1" applyFill="1" applyBorder="1" applyAlignment="1">
      <alignment wrapText="1"/>
    </xf>
    <xf numFmtId="4" fontId="52" fillId="38" borderId="11" xfId="0" applyNumberFormat="1" applyFont="1" applyFill="1" applyBorder="1" applyAlignment="1">
      <alignment horizontal="left" vertical="center" wrapText="1"/>
    </xf>
    <xf numFmtId="49" fontId="52" fillId="38" borderId="11" xfId="0" applyNumberFormat="1" applyFont="1" applyFill="1" applyBorder="1" applyAlignment="1">
      <alignment horizontal="center" vertical="center"/>
    </xf>
    <xf numFmtId="4" fontId="52" fillId="38" borderId="11" xfId="0" applyNumberFormat="1" applyFont="1" applyFill="1" applyBorder="1" applyAlignment="1">
      <alignment horizontal="center" vertical="center"/>
    </xf>
    <xf numFmtId="4" fontId="52" fillId="0" borderId="0" xfId="0" applyNumberFormat="1" applyFont="1" applyFill="1" applyAlignment="1">
      <alignment horizontal="center" vertical="center"/>
    </xf>
    <xf numFmtId="4" fontId="0" fillId="38" borderId="0" xfId="0" applyNumberFormat="1" applyFont="1" applyFill="1" applyAlignment="1">
      <alignment/>
    </xf>
    <xf numFmtId="0" fontId="0" fillId="38" borderId="0" xfId="0" applyFont="1" applyFill="1" applyAlignment="1">
      <alignment/>
    </xf>
    <xf numFmtId="4" fontId="53" fillId="39" borderId="11" xfId="0" applyNumberFormat="1" applyFont="1" applyFill="1" applyBorder="1" applyAlignment="1">
      <alignment horizontal="left" vertical="center" wrapText="1"/>
    </xf>
    <xf numFmtId="49" fontId="53" fillId="39" borderId="11" xfId="0" applyNumberFormat="1" applyFont="1" applyFill="1" applyBorder="1" applyAlignment="1">
      <alignment horizontal="center" vertical="center"/>
    </xf>
    <xf numFmtId="4" fontId="53" fillId="39" borderId="11" xfId="0" applyNumberFormat="1" applyFont="1" applyFill="1" applyBorder="1" applyAlignment="1">
      <alignment horizontal="center" vertical="center"/>
    </xf>
    <xf numFmtId="4" fontId="52" fillId="39" borderId="11" xfId="0" applyNumberFormat="1" applyFont="1" applyFill="1" applyBorder="1" applyAlignment="1">
      <alignment horizontal="left" vertical="center" wrapText="1"/>
    </xf>
    <xf numFmtId="49" fontId="52" fillId="39" borderId="11" xfId="0" applyNumberFormat="1" applyFont="1" applyFill="1" applyBorder="1" applyAlignment="1">
      <alignment horizontal="center" vertical="center"/>
    </xf>
    <xf numFmtId="4" fontId="52" fillId="39" borderId="11" xfId="0" applyNumberFormat="1" applyFont="1" applyFill="1" applyBorder="1" applyAlignment="1">
      <alignment horizontal="center" vertic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4" fontId="53" fillId="38" borderId="11" xfId="0" applyNumberFormat="1" applyFont="1" applyFill="1" applyBorder="1" applyAlignment="1">
      <alignment horizontal="center" vertical="center"/>
    </xf>
    <xf numFmtId="4" fontId="43" fillId="0" borderId="11" xfId="0" applyNumberFormat="1" applyFont="1" applyBorder="1" applyAlignment="1">
      <alignment horizontal="center" vertical="center"/>
    </xf>
    <xf numFmtId="0" fontId="57" fillId="0" borderId="11" xfId="54" applyFont="1" applyBorder="1" applyAlignment="1">
      <alignment wrapText="1"/>
      <protection/>
    </xf>
    <xf numFmtId="0" fontId="56" fillId="0" borderId="11" xfId="54" applyFont="1" applyBorder="1" applyAlignment="1">
      <alignment wrapText="1"/>
      <protection/>
    </xf>
    <xf numFmtId="4" fontId="55" fillId="0" borderId="11" xfId="0" applyNumberFormat="1" applyFont="1" applyFill="1" applyBorder="1" applyAlignment="1">
      <alignment horizontal="center" vertical="center"/>
    </xf>
    <xf numFmtId="0" fontId="52" fillId="0" borderId="11" xfId="0" applyFont="1" applyFill="1" applyBorder="1" applyAlignment="1">
      <alignment horizontal="center" vertical="center"/>
    </xf>
    <xf numFmtId="4" fontId="53" fillId="0" borderId="0" xfId="0" applyNumberFormat="1" applyFont="1" applyFill="1" applyAlignment="1">
      <alignment horizontal="center" vertical="center"/>
    </xf>
    <xf numFmtId="4" fontId="0" fillId="37" borderId="0" xfId="0" applyNumberFormat="1" applyFill="1" applyAlignment="1">
      <alignment/>
    </xf>
    <xf numFmtId="0" fontId="52" fillId="38" borderId="11" xfId="0" applyFont="1" applyFill="1" applyBorder="1" applyAlignment="1">
      <alignment horizontal="left" vertical="center" wrapText="1"/>
    </xf>
    <xf numFmtId="0" fontId="0" fillId="38" borderId="0" xfId="0" applyFill="1" applyAlignment="1">
      <alignment/>
    </xf>
    <xf numFmtId="4" fontId="0" fillId="38" borderId="0" xfId="0" applyNumberFormat="1" applyFill="1" applyAlignment="1">
      <alignment/>
    </xf>
    <xf numFmtId="49" fontId="59" fillId="38" borderId="11" xfId="0" applyNumberFormat="1" applyFont="1" applyFill="1" applyBorder="1" applyAlignment="1">
      <alignment horizontal="center" vertical="center"/>
    </xf>
    <xf numFmtId="4" fontId="59" fillId="38" borderId="11" xfId="0" applyNumberFormat="1" applyFont="1" applyFill="1" applyBorder="1" applyAlignment="1">
      <alignment horizontal="center" vertical="center"/>
    </xf>
    <xf numFmtId="0" fontId="60" fillId="38" borderId="0" xfId="0" applyFont="1" applyFill="1" applyAlignment="1">
      <alignment/>
    </xf>
    <xf numFmtId="4" fontId="60" fillId="38" borderId="0" xfId="0" applyNumberFormat="1" applyFont="1" applyFill="1" applyAlignment="1">
      <alignment/>
    </xf>
    <xf numFmtId="4" fontId="55" fillId="38" borderId="11" xfId="0" applyNumberFormat="1" applyFont="1" applyFill="1" applyBorder="1" applyAlignment="1">
      <alignment horizontal="center" vertical="center"/>
    </xf>
    <xf numFmtId="0" fontId="52" fillId="40" borderId="11" xfId="0" applyFont="1" applyFill="1" applyBorder="1" applyAlignment="1">
      <alignment horizontal="left" vertical="center" wrapText="1"/>
    </xf>
    <xf numFmtId="0" fontId="52" fillId="41" borderId="11" xfId="0" applyFont="1" applyFill="1" applyBorder="1" applyAlignment="1">
      <alignment horizontal="left" vertical="center" wrapText="1"/>
    </xf>
    <xf numFmtId="4" fontId="13" fillId="40" borderId="11" xfId="33" applyNumberFormat="1" applyFont="1" applyFill="1" applyBorder="1" applyAlignment="1">
      <alignment horizontal="left" vertical="center" wrapText="1"/>
      <protection/>
    </xf>
    <xf numFmtId="4" fontId="13" fillId="40" borderId="11" xfId="33" applyNumberFormat="1" applyFont="1" applyFill="1" applyBorder="1" applyAlignment="1">
      <alignment horizontal="left" vertical="center" wrapText="1"/>
      <protection/>
    </xf>
    <xf numFmtId="165" fontId="0" fillId="0" borderId="0" xfId="0" applyNumberFormat="1" applyAlignment="1">
      <alignment/>
    </xf>
    <xf numFmtId="0" fontId="53" fillId="0" borderId="0" xfId="0" applyFont="1" applyAlignment="1">
      <alignment horizontal="center" vertical="center" wrapText="1"/>
    </xf>
    <xf numFmtId="0" fontId="61" fillId="0" borderId="19" xfId="0" applyFont="1" applyBorder="1" applyAlignment="1">
      <alignment horizontal="center" vertical="center"/>
    </xf>
    <xf numFmtId="0" fontId="61" fillId="0" borderId="20" xfId="0" applyFont="1" applyBorder="1" applyAlignment="1">
      <alignment horizontal="center" vertical="center"/>
    </xf>
    <xf numFmtId="0" fontId="61" fillId="0" borderId="14" xfId="0" applyFont="1" applyBorder="1" applyAlignment="1">
      <alignment horizontal="center" vertical="center"/>
    </xf>
    <xf numFmtId="4" fontId="61" fillId="0" borderId="11" xfId="0" applyNumberFormat="1" applyFont="1" applyBorder="1" applyAlignment="1">
      <alignment horizontal="center"/>
    </xf>
    <xf numFmtId="4" fontId="53" fillId="0" borderId="11" xfId="0" applyNumberFormat="1" applyFont="1" applyBorder="1" applyAlignment="1">
      <alignment horizontal="center"/>
    </xf>
    <xf numFmtId="4" fontId="62" fillId="0" borderId="11" xfId="0" applyNumberFormat="1" applyFont="1" applyBorder="1" applyAlignment="1">
      <alignment horizontal="center"/>
    </xf>
    <xf numFmtId="0" fontId="57" fillId="0" borderId="11" xfId="54" applyFont="1" applyBorder="1" applyAlignment="1">
      <alignment wrapText="1"/>
      <protection/>
    </xf>
    <xf numFmtId="0" fontId="56" fillId="0" borderId="11" xfId="54" applyFont="1" applyBorder="1" applyAlignment="1">
      <alignment wrapText="1"/>
      <protection/>
    </xf>
    <xf numFmtId="0" fontId="56" fillId="0" borderId="19" xfId="54" applyFont="1" applyBorder="1" applyAlignment="1">
      <alignment horizontal="center" wrapText="1"/>
      <protection/>
    </xf>
    <xf numFmtId="0" fontId="56" fillId="0" borderId="21" xfId="54" applyFont="1" applyBorder="1" applyAlignment="1">
      <alignment horizontal="center" wrapText="1"/>
      <protection/>
    </xf>
    <xf numFmtId="0" fontId="56" fillId="0" borderId="13" xfId="54" applyFont="1" applyBorder="1" applyAlignment="1">
      <alignment horizontal="center" wrapText="1"/>
      <protection/>
    </xf>
    <xf numFmtId="0" fontId="57" fillId="0" borderId="19" xfId="54" applyFont="1" applyBorder="1" applyAlignment="1">
      <alignment horizontal="left" vertical="center" wrapText="1"/>
      <protection/>
    </xf>
    <xf numFmtId="0" fontId="57" fillId="0" borderId="21" xfId="54" applyFont="1" applyBorder="1" applyAlignment="1">
      <alignment horizontal="left" vertical="center" wrapText="1"/>
      <protection/>
    </xf>
    <xf numFmtId="0" fontId="57" fillId="0" borderId="13" xfId="54" applyFont="1" applyBorder="1" applyAlignment="1">
      <alignment horizontal="left" vertical="center" wrapText="1"/>
      <protection/>
    </xf>
    <xf numFmtId="0" fontId="62" fillId="0" borderId="11" xfId="0" applyFont="1" applyFill="1" applyBorder="1" applyAlignment="1">
      <alignment horizontal="center"/>
    </xf>
    <xf numFmtId="0" fontId="63" fillId="0" borderId="11" xfId="0" applyFont="1" applyFill="1" applyBorder="1" applyAlignment="1">
      <alignment horizontal="center"/>
    </xf>
    <xf numFmtId="0" fontId="62" fillId="0" borderId="11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xl33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_2020" displayName="_2020" ref="A17:F34" totalsRowCount="1">
  <autoFilter ref="A17:F34"/>
  <tableColumns count="6">
    <tableColumn id="1" name="Наименование мероприятия"/>
    <tableColumn id="6" name="Год реализации"/>
    <tableColumn id="3" name="Местный бюджет" totalsRowFunction="sum"/>
    <tableColumn id="4" name="Областной бюджет" totalsRowFunction="sum"/>
    <tableColumn id="5" name="Федеральный Бюджет" totalsRowFunction="sum"/>
    <tableColumn id="2" name="Сумма" totalsRowFunction="sum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10" name="Таблица811" displayName="Таблица811" ref="A7:E13" totalsRowShown="0">
  <autoFilter ref="A7:E13"/>
  <tableColumns count="5">
    <tableColumn id="1" name="Год реализации"/>
    <tableColumn id="2" name="Местный бюджет"/>
    <tableColumn id="3" name="Областной бюджет"/>
    <tableColumn id="4" name="Федеральный Бюджет"/>
    <tableColumn id="5" name="Сумма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4" name="_2022" displayName="_2022" ref="A61:F78" totalsRowCount="1">
  <autoFilter ref="A61:F78"/>
  <tableColumns count="6">
    <tableColumn id="1" name="Наименование мероприятия"/>
    <tableColumn id="6" name="Год реализации"/>
    <tableColumn id="2" name="Местный бюджет" totalsRowFunction="sum"/>
    <tableColumn id="3" name="Областной бюджет" totalsRowFunction="sum"/>
    <tableColumn id="4" name="Федеральный Бюджет" totalsRowFunction="sum"/>
    <tableColumn id="5" name="Сумма" totalsRowFunction="sum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1" name="_20202" displayName="_20202" ref="A17:F34" totalsRowCount="1">
  <autoFilter ref="A17:F34"/>
  <tableColumns count="6">
    <tableColumn id="1" name="Наименование мероприятия"/>
    <tableColumn id="6" name="Год реализации"/>
    <tableColumn id="3" name="Местный бюджет" totalsRowFunction="sum"/>
    <tableColumn id="4" name="Областной бюджет" totalsRowFunction="sum"/>
    <tableColumn id="5" name="Федеральный Бюджет" totalsRowFunction="sum"/>
    <tableColumn id="2" name="Сумма" totalsRowFunction="sum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8" name="Таблица8119" displayName="Таблица8119" ref="A7:E13" totalsRowShown="0">
  <autoFilter ref="A7:E13"/>
  <tableColumns count="5">
    <tableColumn id="1" name="Год реализации"/>
    <tableColumn id="2" name="Местный бюджет"/>
    <tableColumn id="3" name="Областной бюджет"/>
    <tableColumn id="4" name="Федеральный Бюджет"/>
    <tableColumn id="5" name="Сумма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4.xml" /><Relationship Id="rId2" Type="http://schemas.openxmlformats.org/officeDocument/2006/relationships/table" Target="../tables/table5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5"/>
  <sheetViews>
    <sheetView view="pageBreakPreview" zoomScale="85" zoomScaleSheetLayoutView="85" zoomScalePageLayoutView="0" workbookViewId="0" topLeftCell="A1">
      <selection activeCell="A1" sqref="A1:IV65536"/>
    </sheetView>
  </sheetViews>
  <sheetFormatPr defaultColWidth="31.00390625" defaultRowHeight="15"/>
  <cols>
    <col min="1" max="1" width="62.7109375" style="6" customWidth="1"/>
    <col min="2" max="2" width="20.57421875" style="46" customWidth="1"/>
    <col min="3" max="3" width="19.421875" style="41" customWidth="1"/>
    <col min="4" max="4" width="20.8515625" style="41" customWidth="1"/>
    <col min="5" max="5" width="23.8515625" style="41" customWidth="1"/>
    <col min="6" max="6" width="12.00390625" style="0" customWidth="1"/>
    <col min="7" max="7" width="14.8515625" style="0" customWidth="1"/>
    <col min="8" max="9" width="14.8515625" style="11" customWidth="1"/>
    <col min="10" max="12" width="14.8515625" style="0" customWidth="1"/>
  </cols>
  <sheetData>
    <row r="1" spans="1:5" ht="14.25">
      <c r="A1" s="1"/>
      <c r="B1" s="37"/>
      <c r="C1" s="2"/>
      <c r="D1" s="81"/>
      <c r="E1" s="4" t="s">
        <v>41</v>
      </c>
    </row>
    <row r="2" spans="1:5" ht="14.25">
      <c r="A2" s="1"/>
      <c r="B2" s="37"/>
      <c r="C2" s="2"/>
      <c r="D2" s="81"/>
      <c r="E2" s="4" t="s">
        <v>42</v>
      </c>
    </row>
    <row r="3" spans="1:5" ht="14.25">
      <c r="A3" s="1"/>
      <c r="B3" s="37"/>
      <c r="C3" s="2"/>
      <c r="D3" s="81"/>
      <c r="E3" s="4" t="s">
        <v>43</v>
      </c>
    </row>
    <row r="4" spans="1:5" ht="14.25">
      <c r="A4" s="1"/>
      <c r="B4" s="37"/>
      <c r="C4" s="2"/>
      <c r="D4" s="81"/>
      <c r="E4" s="4" t="s">
        <v>104</v>
      </c>
    </row>
    <row r="5" spans="1:5" ht="80.25" customHeight="1">
      <c r="A5" s="120" t="s">
        <v>44</v>
      </c>
      <c r="B5" s="120"/>
      <c r="C5" s="120"/>
      <c r="D5" s="120"/>
      <c r="E5" s="120"/>
    </row>
    <row r="6" spans="1:5" ht="14.25">
      <c r="A6" s="5" t="s">
        <v>46</v>
      </c>
      <c r="B6" s="39"/>
      <c r="C6" s="40"/>
      <c r="D6" s="40"/>
      <c r="E6" s="42"/>
    </row>
    <row r="7" spans="1:5" ht="14.25">
      <c r="A7" s="18" t="s">
        <v>63</v>
      </c>
      <c r="B7" s="38" t="s">
        <v>2</v>
      </c>
      <c r="C7" s="15" t="s">
        <v>1</v>
      </c>
      <c r="D7" s="15" t="s">
        <v>3</v>
      </c>
      <c r="E7" s="19" t="s">
        <v>55</v>
      </c>
    </row>
    <row r="8" spans="1:12" ht="14.25">
      <c r="A8" s="16">
        <v>2020</v>
      </c>
      <c r="B8" s="3">
        <f>'2020'!$C$34</f>
        <v>27013.413510000002</v>
      </c>
      <c r="C8" s="3">
        <f>'2020'!$D$34</f>
        <v>81475.14749</v>
      </c>
      <c r="D8" s="3">
        <f>'2020'!$E$139</f>
        <v>0</v>
      </c>
      <c r="E8" s="43">
        <f>SUM('2020'!$B8:$D8)</f>
        <v>108488.561</v>
      </c>
      <c r="G8">
        <v>27013.413510000002</v>
      </c>
      <c r="H8" s="11">
        <v>81475.14749</v>
      </c>
      <c r="J8" s="34">
        <f>'2020'!$B8-G8</f>
        <v>0</v>
      </c>
      <c r="K8" s="34">
        <f>'2020'!$C8-H8</f>
        <v>0</v>
      </c>
      <c r="L8" s="34"/>
    </row>
    <row r="9" spans="1:12" ht="14.25" customHeight="1">
      <c r="A9" s="16">
        <v>2021</v>
      </c>
      <c r="B9" s="3">
        <f>'2020'!$C$59</f>
        <v>29257.209208099997</v>
      </c>
      <c r="C9" s="3">
        <f>'2020'!$D$59</f>
        <v>73359.36862146</v>
      </c>
      <c r="D9" s="3">
        <f>'2020'!$E$139</f>
        <v>0</v>
      </c>
      <c r="E9" s="43">
        <f>SUM('2020'!$B9:$D9)</f>
        <v>102616.57782956</v>
      </c>
      <c r="G9">
        <v>28809.84065</v>
      </c>
      <c r="H9" s="11">
        <v>39848.17945</v>
      </c>
      <c r="J9" s="34">
        <f>'2020'!$B9-G9</f>
        <v>447.36855809999906</v>
      </c>
      <c r="K9" s="34">
        <f>'2020'!$C9-H9</f>
        <v>33511.18917146</v>
      </c>
      <c r="L9" s="34"/>
    </row>
    <row r="10" spans="1:12" ht="14.25">
      <c r="A10" s="16">
        <v>2022</v>
      </c>
      <c r="B10" s="3">
        <f>'2020'!$C$78</f>
        <v>20221.533649190787</v>
      </c>
      <c r="C10" s="3">
        <f>'2020'!$D$78</f>
        <v>112689.99515237499</v>
      </c>
      <c r="D10" s="3">
        <f>'2020'!$E$139</f>
        <v>0</v>
      </c>
      <c r="E10" s="43">
        <f>SUM('2020'!$B10:$D10)</f>
        <v>132911.5288015658</v>
      </c>
      <c r="G10">
        <v>20221.53</v>
      </c>
      <c r="H10" s="11">
        <v>112690</v>
      </c>
      <c r="J10" s="34">
        <f>'2020'!$B10-G10</f>
        <v>0.003649190788564738</v>
      </c>
      <c r="K10" s="34">
        <f>'2020'!$C10-H10</f>
        <v>-0.004847625008551404</v>
      </c>
      <c r="L10" s="34"/>
    </row>
    <row r="11" spans="1:12" ht="14.25">
      <c r="A11" s="16">
        <v>2023</v>
      </c>
      <c r="B11" s="3">
        <f>'2020'!$C$94</f>
        <v>20255.517</v>
      </c>
      <c r="C11" s="3">
        <f>'2020'!$D$94</f>
        <v>92907.302</v>
      </c>
      <c r="D11" s="3">
        <f>'2020'!$E$139</f>
        <v>0</v>
      </c>
      <c r="E11" s="43">
        <f>SUM('2020'!$B11:$D11)</f>
        <v>113162.81899999999</v>
      </c>
      <c r="G11">
        <v>20254.82</v>
      </c>
      <c r="H11" s="11">
        <v>92908</v>
      </c>
      <c r="J11" s="36">
        <f>'2020'!$B11-G11</f>
        <v>0.6970000000001164</v>
      </c>
      <c r="K11" s="36">
        <f>'2020'!$C11-H11</f>
        <v>-0.6980000000039581</v>
      </c>
      <c r="L11" s="36"/>
    </row>
    <row r="12" spans="1:12" ht="14.25">
      <c r="A12" s="16">
        <v>2024</v>
      </c>
      <c r="B12" s="3">
        <f>'2020'!$C$114</f>
        <v>20036.045000000002</v>
      </c>
      <c r="C12" s="3">
        <f>'2020'!$D$114</f>
        <v>92908.005</v>
      </c>
      <c r="D12" s="3">
        <f>'2020'!$E$139</f>
        <v>0</v>
      </c>
      <c r="E12" s="43">
        <f>SUM('2020'!$B12:$D12)</f>
        <v>112944.05</v>
      </c>
      <c r="G12">
        <v>20036.05</v>
      </c>
      <c r="H12" s="11">
        <v>36900</v>
      </c>
      <c r="J12" s="35">
        <f>'2020'!$B12-G12</f>
        <v>-0.004999999997380655</v>
      </c>
      <c r="K12" s="35">
        <f>'2020'!$C12-H12</f>
        <v>56008.005000000005</v>
      </c>
      <c r="L12" s="35"/>
    </row>
    <row r="13" spans="1:12" ht="14.25">
      <c r="A13" s="17">
        <v>2025</v>
      </c>
      <c r="B13" s="3">
        <f>'2020'!$C$139</f>
        <v>15146.15</v>
      </c>
      <c r="C13" s="3">
        <f>'2020'!$D$139</f>
        <v>64550</v>
      </c>
      <c r="D13" s="3">
        <f>'2020'!$E$139</f>
        <v>0</v>
      </c>
      <c r="E13" s="32">
        <f>SUM('2020'!$B13:$D13)</f>
        <v>79696.15</v>
      </c>
      <c r="G13">
        <v>14909.1</v>
      </c>
      <c r="H13" s="11">
        <v>109917.5</v>
      </c>
      <c r="J13" s="34">
        <f>'2020'!$B13-G13</f>
        <v>237.04999999999927</v>
      </c>
      <c r="K13" s="34">
        <f>'2020'!$C13-H13</f>
        <v>-45367.5</v>
      </c>
      <c r="L13" s="34"/>
    </row>
    <row r="14" spans="1:5" ht="14.25">
      <c r="A14" s="5"/>
      <c r="B14" s="39"/>
      <c r="C14" s="40"/>
      <c r="D14" s="40"/>
      <c r="E14" s="42"/>
    </row>
    <row r="15" spans="1:5" ht="22.5">
      <c r="A15" s="121" t="s">
        <v>47</v>
      </c>
      <c r="B15" s="122"/>
      <c r="C15" s="122"/>
      <c r="D15" s="122"/>
      <c r="E15" s="123"/>
    </row>
    <row r="16" spans="1:6" ht="14.25">
      <c r="A16" s="51"/>
      <c r="B16" s="48"/>
      <c r="C16" s="49" t="s">
        <v>45</v>
      </c>
      <c r="D16" s="47"/>
      <c r="E16" s="52"/>
      <c r="F16" s="53"/>
    </row>
    <row r="17" spans="1:6" ht="14.25">
      <c r="A17" s="54" t="s">
        <v>0</v>
      </c>
      <c r="B17" s="55" t="s">
        <v>63</v>
      </c>
      <c r="C17" s="56" t="s">
        <v>2</v>
      </c>
      <c r="D17" s="56" t="s">
        <v>1</v>
      </c>
      <c r="E17" s="56" t="s">
        <v>3</v>
      </c>
      <c r="F17" s="56" t="s">
        <v>55</v>
      </c>
    </row>
    <row r="18" spans="1:6" ht="27">
      <c r="A18" s="7" t="s">
        <v>4</v>
      </c>
      <c r="B18" s="57">
        <v>2020</v>
      </c>
      <c r="C18" s="8">
        <v>8577.6</v>
      </c>
      <c r="D18" s="8"/>
      <c r="E18" s="8"/>
      <c r="F18" s="8">
        <f>'2020'!$C18+'2020'!$D18+'2020'!$E18</f>
        <v>8577.6</v>
      </c>
    </row>
    <row r="19" spans="1:6" ht="54.75">
      <c r="A19" s="9" t="s">
        <v>5</v>
      </c>
      <c r="B19" s="57">
        <v>2020</v>
      </c>
      <c r="C19" s="3">
        <v>459.15151</v>
      </c>
      <c r="D19" s="3"/>
      <c r="E19" s="3"/>
      <c r="F19" s="8">
        <f>'2020'!$C19+'2020'!$D19+'2020'!$E19</f>
        <v>459.15151</v>
      </c>
    </row>
    <row r="20" spans="1:6" ht="27">
      <c r="A20" s="7" t="s">
        <v>6</v>
      </c>
      <c r="B20" s="57">
        <v>2020</v>
      </c>
      <c r="C20" s="8">
        <v>369.253</v>
      </c>
      <c r="D20" s="8">
        <v>7015.81249</v>
      </c>
      <c r="E20" s="8"/>
      <c r="F20" s="8">
        <f>'2020'!$C20+'2020'!$D20+'2020'!$E20</f>
        <v>7385.06549</v>
      </c>
    </row>
    <row r="21" spans="1:6" ht="27">
      <c r="A21" s="9" t="s">
        <v>7</v>
      </c>
      <c r="B21" s="57">
        <v>2020</v>
      </c>
      <c r="C21" s="3">
        <v>692.255</v>
      </c>
      <c r="D21" s="3">
        <v>13152.85</v>
      </c>
      <c r="E21" s="3"/>
      <c r="F21" s="8">
        <f>'2020'!$C21+'2020'!$D21+'2020'!$E21</f>
        <v>13845.105</v>
      </c>
    </row>
    <row r="22" spans="1:6" ht="27">
      <c r="A22" s="7" t="s">
        <v>8</v>
      </c>
      <c r="B22" s="57">
        <v>2020</v>
      </c>
      <c r="C22" s="8">
        <v>599.405</v>
      </c>
      <c r="D22" s="8"/>
      <c r="E22" s="8"/>
      <c r="F22" s="8">
        <f>'2020'!$C22+'2020'!$D22+'2020'!$E22</f>
        <v>599.405</v>
      </c>
    </row>
    <row r="23" spans="1:6" ht="14.25">
      <c r="A23" s="9" t="s">
        <v>17</v>
      </c>
      <c r="B23" s="57">
        <v>2020</v>
      </c>
      <c r="C23" s="3">
        <v>599.99</v>
      </c>
      <c r="D23" s="3"/>
      <c r="E23" s="3"/>
      <c r="F23" s="8">
        <f>'2020'!$C23+'2020'!$D23+'2020'!$E23</f>
        <v>599.99</v>
      </c>
    </row>
    <row r="24" spans="1:6" ht="14.25">
      <c r="A24" s="7" t="s">
        <v>17</v>
      </c>
      <c r="B24" s="57">
        <v>2020</v>
      </c>
      <c r="C24" s="8">
        <v>471.789</v>
      </c>
      <c r="D24" s="8"/>
      <c r="E24" s="8"/>
      <c r="F24" s="8">
        <f>'2020'!$C24+'2020'!$D24+'2020'!$E24</f>
        <v>471.789</v>
      </c>
    </row>
    <row r="25" spans="1:6" ht="27">
      <c r="A25" s="9" t="s">
        <v>9</v>
      </c>
      <c r="B25" s="57">
        <v>2020</v>
      </c>
      <c r="C25" s="3">
        <v>2.423</v>
      </c>
      <c r="D25" s="3">
        <v>2420.967</v>
      </c>
      <c r="E25" s="3"/>
      <c r="F25" s="8">
        <f>'2020'!$C25+'2020'!$D25+'2020'!$E25</f>
        <v>2423.39</v>
      </c>
    </row>
    <row r="26" spans="1:6" ht="27">
      <c r="A26" s="7" t="s">
        <v>10</v>
      </c>
      <c r="B26" s="57">
        <v>2020</v>
      </c>
      <c r="C26" s="8">
        <v>31.129</v>
      </c>
      <c r="D26" s="8">
        <v>31098.331</v>
      </c>
      <c r="E26" s="8"/>
      <c r="F26" s="8">
        <f>'2020'!$C26+'2020'!$D26+'2020'!$E26</f>
        <v>31129.46</v>
      </c>
    </row>
    <row r="27" spans="1:6" ht="27">
      <c r="A27" s="9" t="s">
        <v>11</v>
      </c>
      <c r="B27" s="57">
        <v>2020</v>
      </c>
      <c r="C27" s="3">
        <v>11.779</v>
      </c>
      <c r="D27" s="3">
        <v>11766.829</v>
      </c>
      <c r="E27" s="3"/>
      <c r="F27" s="8">
        <f>'2020'!$C27+'2020'!$D27+'2020'!$E27</f>
        <v>11778.608</v>
      </c>
    </row>
    <row r="28" spans="1:6" ht="41.25">
      <c r="A28" s="7" t="s">
        <v>12</v>
      </c>
      <c r="B28" s="57">
        <v>2020</v>
      </c>
      <c r="C28" s="8">
        <v>400</v>
      </c>
      <c r="D28" s="8">
        <v>9600</v>
      </c>
      <c r="E28" s="8"/>
      <c r="F28" s="8">
        <f>'2020'!$C28+'2020'!$D28+'2020'!$E28</f>
        <v>10000</v>
      </c>
    </row>
    <row r="29" spans="1:6" ht="27">
      <c r="A29" s="9" t="s">
        <v>13</v>
      </c>
      <c r="B29" s="57">
        <v>2020</v>
      </c>
      <c r="C29" s="3">
        <v>229.452</v>
      </c>
      <c r="D29" s="3">
        <v>4359.585</v>
      </c>
      <c r="E29" s="3"/>
      <c r="F29" s="8">
        <f>'2020'!$C29+'2020'!$D29+'2020'!$E29</f>
        <v>4589.037</v>
      </c>
    </row>
    <row r="30" spans="1:6" ht="41.25">
      <c r="A30" s="7" t="s">
        <v>14</v>
      </c>
      <c r="B30" s="57">
        <v>2020</v>
      </c>
      <c r="C30" s="8">
        <v>108.461</v>
      </c>
      <c r="D30" s="8">
        <v>2060.773</v>
      </c>
      <c r="E30" s="8"/>
      <c r="F30" s="8">
        <f>'2020'!$C30+'2020'!$D30+'2020'!$E30</f>
        <v>2169.234</v>
      </c>
    </row>
    <row r="31" spans="1:6" ht="14.25">
      <c r="A31" s="9" t="s">
        <v>15</v>
      </c>
      <c r="B31" s="57">
        <v>2020</v>
      </c>
      <c r="C31" s="3">
        <v>144.626</v>
      </c>
      <c r="D31" s="3"/>
      <c r="E31" s="3"/>
      <c r="F31" s="8">
        <f>'2020'!$C31+'2020'!$D31+'2020'!$E31</f>
        <v>144.626</v>
      </c>
    </row>
    <row r="32" spans="1:6" ht="14.25">
      <c r="A32" s="7" t="s">
        <v>16</v>
      </c>
      <c r="B32" s="57">
        <v>2020</v>
      </c>
      <c r="C32" s="8">
        <v>302</v>
      </c>
      <c r="D32" s="8"/>
      <c r="E32" s="8"/>
      <c r="F32" s="8">
        <f>'2020'!$C32+'2020'!$D32+'2020'!$E32</f>
        <v>302</v>
      </c>
    </row>
    <row r="33" spans="1:6" ht="14.25">
      <c r="A33" s="7" t="s">
        <v>54</v>
      </c>
      <c r="B33" s="57">
        <v>2020</v>
      </c>
      <c r="C33" s="8">
        <v>14014.1</v>
      </c>
      <c r="D33" s="8"/>
      <c r="E33" s="8"/>
      <c r="F33" s="8">
        <f>'2020'!$C33+'2020'!$D33+'2020'!$E33</f>
        <v>14014.1</v>
      </c>
    </row>
    <row r="34" spans="1:6" ht="14.25">
      <c r="A34" s="58" t="s">
        <v>53</v>
      </c>
      <c r="B34" s="57"/>
      <c r="C34" s="8">
        <f>SUBTOTAL(109,C18:C33)</f>
        <v>27013.413510000002</v>
      </c>
      <c r="D34" s="8">
        <f>SUBTOTAL(109,D18:D33)</f>
        <v>81475.14749</v>
      </c>
      <c r="E34" s="8">
        <f>SUBTOTAL(109,E18:E33)</f>
        <v>0</v>
      </c>
      <c r="F34" s="8">
        <f>SUBTOTAL(109,F18:F33)</f>
        <v>108488.561</v>
      </c>
    </row>
    <row r="35" spans="1:6" ht="22.5">
      <c r="A35" s="124" t="s">
        <v>48</v>
      </c>
      <c r="B35" s="125"/>
      <c r="C35" s="125"/>
      <c r="D35" s="125"/>
      <c r="E35" s="3"/>
      <c r="F35" s="59"/>
    </row>
    <row r="36" spans="1:8" ht="14.25">
      <c r="A36" s="60" t="s">
        <v>0</v>
      </c>
      <c r="B36" s="61" t="s">
        <v>63</v>
      </c>
      <c r="C36" s="62" t="s">
        <v>2</v>
      </c>
      <c r="D36" s="62" t="s">
        <v>1</v>
      </c>
      <c r="E36" s="62" t="s">
        <v>3</v>
      </c>
      <c r="F36" s="62" t="s">
        <v>55</v>
      </c>
      <c r="G36" s="83" t="s">
        <v>106</v>
      </c>
      <c r="H36" s="83" t="s">
        <v>109</v>
      </c>
    </row>
    <row r="37" spans="1:9" s="90" customFormat="1" ht="14.25">
      <c r="A37" s="94" t="s">
        <v>54</v>
      </c>
      <c r="B37" s="95" t="s">
        <v>70</v>
      </c>
      <c r="C37" s="96">
        <v>14857.17916</v>
      </c>
      <c r="D37" s="96"/>
      <c r="E37" s="96"/>
      <c r="F37" s="96">
        <v>14857.17916</v>
      </c>
      <c r="G37" s="88"/>
      <c r="H37" s="88"/>
      <c r="I37" s="89"/>
    </row>
    <row r="38" spans="1:10" s="90" customFormat="1" ht="14.25">
      <c r="A38" s="94" t="s">
        <v>107</v>
      </c>
      <c r="B38" s="95" t="s">
        <v>70</v>
      </c>
      <c r="C38" s="96">
        <f>C39+C40+C41+C42+C43+C44+C45</f>
        <v>11948.396805</v>
      </c>
      <c r="D38" s="96"/>
      <c r="E38" s="96"/>
      <c r="F38" s="96">
        <f>F39+F40+F41+F42+F43+F44+F45</f>
        <v>11948.396805</v>
      </c>
      <c r="G38" s="88"/>
      <c r="H38" s="88"/>
      <c r="I38" s="89"/>
      <c r="J38" s="90">
        <f>11948.4-11948.5</f>
        <v>-0.1000000000003638</v>
      </c>
    </row>
    <row r="39" spans="1:9" s="90" customFormat="1" ht="14.25">
      <c r="A39" s="84" t="s">
        <v>87</v>
      </c>
      <c r="B39" s="86" t="s">
        <v>70</v>
      </c>
      <c r="C39" s="87">
        <v>302</v>
      </c>
      <c r="D39" s="87"/>
      <c r="E39" s="87"/>
      <c r="F39" s="87">
        <f>SUM('2020'!$C39:$E39)</f>
        <v>302</v>
      </c>
      <c r="G39" s="88"/>
      <c r="H39" s="88"/>
      <c r="I39" s="89"/>
    </row>
    <row r="40" spans="1:9" s="90" customFormat="1" ht="14.25">
      <c r="A40" s="85" t="s">
        <v>17</v>
      </c>
      <c r="B40" s="86" t="s">
        <v>70</v>
      </c>
      <c r="C40" s="87">
        <f>1626.3-0.1</f>
        <v>1626.2</v>
      </c>
      <c r="D40" s="87"/>
      <c r="E40" s="87"/>
      <c r="F40" s="87">
        <f>'2020'!$C40</f>
        <v>1626.2</v>
      </c>
      <c r="G40" s="88"/>
      <c r="H40" s="88"/>
      <c r="I40" s="89"/>
    </row>
    <row r="41" spans="1:9" s="90" customFormat="1" ht="14.25">
      <c r="A41" s="84" t="s">
        <v>65</v>
      </c>
      <c r="B41" s="86" t="s">
        <v>70</v>
      </c>
      <c r="C41" s="87">
        <v>439.9602</v>
      </c>
      <c r="D41" s="87"/>
      <c r="E41" s="87"/>
      <c r="F41" s="87">
        <f>SUM('2020'!$C41:$E41)</f>
        <v>439.9602</v>
      </c>
      <c r="G41" s="88"/>
      <c r="H41" s="88"/>
      <c r="I41" s="89"/>
    </row>
    <row r="42" spans="1:9" s="90" customFormat="1" ht="14.25">
      <c r="A42" s="84" t="s">
        <v>66</v>
      </c>
      <c r="B42" s="86" t="s">
        <v>70</v>
      </c>
      <c r="C42" s="87">
        <v>945.51774</v>
      </c>
      <c r="D42" s="87"/>
      <c r="E42" s="87"/>
      <c r="F42" s="87">
        <f>SUM('2020'!$C42:$E42)</f>
        <v>945.51774</v>
      </c>
      <c r="G42" s="88"/>
      <c r="H42" s="88"/>
      <c r="I42" s="89"/>
    </row>
    <row r="43" spans="1:9" s="90" customFormat="1" ht="27.75">
      <c r="A43" s="84" t="s">
        <v>67</v>
      </c>
      <c r="B43" s="86" t="s">
        <v>70</v>
      </c>
      <c r="C43" s="87">
        <v>8028.848465</v>
      </c>
      <c r="D43" s="87"/>
      <c r="E43" s="87"/>
      <c r="F43" s="87">
        <f>SUM('2020'!$C43:$E43)</f>
        <v>8028.848465</v>
      </c>
      <c r="G43" s="88"/>
      <c r="H43" s="88"/>
      <c r="I43" s="89"/>
    </row>
    <row r="44" spans="1:9" s="90" customFormat="1" ht="14.25">
      <c r="A44" s="84" t="s">
        <v>18</v>
      </c>
      <c r="B44" s="86" t="s">
        <v>70</v>
      </c>
      <c r="C44" s="87">
        <v>40</v>
      </c>
      <c r="D44" s="87"/>
      <c r="E44" s="87"/>
      <c r="F44" s="87">
        <f>SUM('2020'!$C44:$E44)</f>
        <v>40</v>
      </c>
      <c r="G44" s="88"/>
      <c r="H44" s="88"/>
      <c r="I44" s="89"/>
    </row>
    <row r="45" spans="1:9" s="90" customFormat="1" ht="14.25">
      <c r="A45" s="84" t="s">
        <v>60</v>
      </c>
      <c r="B45" s="86" t="s">
        <v>70</v>
      </c>
      <c r="C45" s="87">
        <v>565.8704</v>
      </c>
      <c r="D45" s="87"/>
      <c r="E45" s="87"/>
      <c r="F45" s="87">
        <f>SUM('2020'!$C45:$E45)</f>
        <v>565.8704</v>
      </c>
      <c r="G45" s="88"/>
      <c r="H45" s="88"/>
      <c r="I45" s="89"/>
    </row>
    <row r="46" spans="1:9" s="90" customFormat="1" ht="27">
      <c r="A46" s="94" t="s">
        <v>108</v>
      </c>
      <c r="B46" s="95" t="s">
        <v>70</v>
      </c>
      <c r="C46" s="96">
        <f>C47+C48</f>
        <v>1007.048092</v>
      </c>
      <c r="D46" s="96">
        <f>D47+D48</f>
        <v>24225.654208</v>
      </c>
      <c r="E46" s="96"/>
      <c r="F46" s="96">
        <f>SUM('2020'!$C46:$E46)</f>
        <v>25232.7023</v>
      </c>
      <c r="G46" s="88"/>
      <c r="H46" s="88"/>
      <c r="I46" s="89"/>
    </row>
    <row r="47" spans="1:9" s="90" customFormat="1" ht="27.75">
      <c r="A47" s="84" t="s">
        <v>88</v>
      </c>
      <c r="B47" s="86" t="s">
        <v>70</v>
      </c>
      <c r="C47" s="87">
        <v>629.6570992000001</v>
      </c>
      <c r="D47" s="87">
        <f>15111.7703808+56.5</f>
        <v>15168.2703808</v>
      </c>
      <c r="E47" s="87"/>
      <c r="F47" s="99">
        <f>SUM('2020'!$C47:$E47)</f>
        <v>15797.92748</v>
      </c>
      <c r="G47" s="88"/>
      <c r="H47" s="88">
        <f>F46-25232.7</f>
        <v>0.002300000000104774</v>
      </c>
      <c r="I47" s="89"/>
    </row>
    <row r="48" spans="1:9" s="90" customFormat="1" ht="27.75">
      <c r="A48" s="84" t="s">
        <v>89</v>
      </c>
      <c r="B48" s="86" t="s">
        <v>70</v>
      </c>
      <c r="C48" s="87">
        <v>377.3909928</v>
      </c>
      <c r="D48" s="87">
        <v>9057.3838272</v>
      </c>
      <c r="E48" s="87"/>
      <c r="F48" s="87">
        <f>SUM('2020'!$C48:$E48)</f>
        <v>9434.774819999999</v>
      </c>
      <c r="G48" s="88"/>
      <c r="H48" s="88"/>
      <c r="I48" s="89"/>
    </row>
    <row r="49" spans="1:9" s="90" customFormat="1" ht="27">
      <c r="A49" s="94" t="s">
        <v>91</v>
      </c>
      <c r="B49" s="95" t="s">
        <v>70</v>
      </c>
      <c r="C49" s="96">
        <f>C50+C51+C52+C53+C54+C55</f>
        <v>14.9878855</v>
      </c>
      <c r="D49" s="96">
        <f>D50+D51+D52+D53+D54+D55</f>
        <v>14972.912689060002</v>
      </c>
      <c r="E49" s="96"/>
      <c r="F49" s="96">
        <f>F50+F51+F52+F53+F54+F55</f>
        <v>14987.900574559999</v>
      </c>
      <c r="G49" s="88"/>
      <c r="H49" s="88"/>
      <c r="I49" s="89"/>
    </row>
    <row r="50" spans="1:11" s="90" customFormat="1" ht="14.25">
      <c r="A50" s="84" t="s">
        <v>59</v>
      </c>
      <c r="B50" s="86" t="s">
        <v>70</v>
      </c>
      <c r="C50" s="87">
        <v>1.31747616</v>
      </c>
      <c r="D50" s="87">
        <v>1316.15868384</v>
      </c>
      <c r="E50" s="87"/>
      <c r="F50" s="87">
        <f>SUM('2020'!$C50:$E50)</f>
        <v>1317.4761600000002</v>
      </c>
      <c r="G50" s="88"/>
      <c r="H50" s="88"/>
      <c r="I50" s="89"/>
      <c r="K50" s="89">
        <f>F49-114987.9</f>
        <v>-99999.99942544</v>
      </c>
    </row>
    <row r="51" spans="1:9" s="90" customFormat="1" ht="14.25">
      <c r="A51" s="84" t="s">
        <v>58</v>
      </c>
      <c r="B51" s="86" t="s">
        <v>70</v>
      </c>
      <c r="C51" s="87">
        <v>2.24775064</v>
      </c>
      <c r="D51" s="87">
        <f>2245.50288936-0.38</f>
        <v>2245.12288936</v>
      </c>
      <c r="E51" s="87"/>
      <c r="F51" s="87">
        <f>SUM('2020'!$C51:$E51)</f>
        <v>2247.37064</v>
      </c>
      <c r="G51" s="88"/>
      <c r="H51" s="88"/>
      <c r="I51" s="89"/>
    </row>
    <row r="52" spans="1:9" s="90" customFormat="1" ht="14.25">
      <c r="A52" s="84" t="s">
        <v>57</v>
      </c>
      <c r="B52" s="86" t="s">
        <v>70</v>
      </c>
      <c r="C52" s="87">
        <v>10.233409400000001</v>
      </c>
      <c r="D52" s="87">
        <v>10223.1759906</v>
      </c>
      <c r="E52" s="87"/>
      <c r="F52" s="87">
        <f>SUM('2020'!$C52:$E52)</f>
        <v>10233.4094</v>
      </c>
      <c r="G52" s="88"/>
      <c r="H52" s="88"/>
      <c r="I52" s="89"/>
    </row>
    <row r="53" spans="1:9" s="90" customFormat="1" ht="14.25">
      <c r="A53" s="84" t="s">
        <v>69</v>
      </c>
      <c r="B53" s="86" t="s">
        <v>70</v>
      </c>
      <c r="C53" s="87">
        <v>0.31608881</v>
      </c>
      <c r="D53" s="87">
        <v>315.77272119</v>
      </c>
      <c r="E53" s="87"/>
      <c r="F53" s="87">
        <f>SUM('2020'!$C53:$D53)</f>
        <v>316.08881</v>
      </c>
      <c r="G53" s="88"/>
      <c r="H53" s="88"/>
      <c r="I53" s="89"/>
    </row>
    <row r="54" spans="1:11" s="90" customFormat="1" ht="25.5" customHeight="1">
      <c r="A54" s="84" t="s">
        <v>90</v>
      </c>
      <c r="B54" s="86" t="s">
        <v>70</v>
      </c>
      <c r="C54" s="87">
        <v>0.47808593</v>
      </c>
      <c r="D54" s="87">
        <v>477.60784407</v>
      </c>
      <c r="E54" s="87"/>
      <c r="F54" s="87">
        <f>SUM('2020'!$C54:$E54)</f>
        <v>478.08593</v>
      </c>
      <c r="G54" s="88"/>
      <c r="H54" s="88"/>
      <c r="I54" s="89">
        <f>D55+C55</f>
        <v>395.46963456000003</v>
      </c>
      <c r="K54" s="89">
        <f>F49-14987.9</f>
        <v>0.0005745599992224015</v>
      </c>
    </row>
    <row r="55" spans="1:9" s="90" customFormat="1" ht="27.75">
      <c r="A55" s="84" t="s">
        <v>91</v>
      </c>
      <c r="B55" s="86" t="s">
        <v>70</v>
      </c>
      <c r="C55" s="87">
        <f>'2020'!$D55*0.1%</f>
        <v>0.39507456</v>
      </c>
      <c r="D55" s="87">
        <v>395.07456</v>
      </c>
      <c r="E55" s="87"/>
      <c r="F55" s="87">
        <f>SUM('2020'!$C55:$E55)</f>
        <v>395.46963456000003</v>
      </c>
      <c r="G55" s="88">
        <f>'2020'!$C55+'2020'!$D55</f>
        <v>395.46963456000003</v>
      </c>
      <c r="H55" s="88"/>
      <c r="I55" s="89"/>
    </row>
    <row r="56" spans="1:9" s="98" customFormat="1" ht="14.25">
      <c r="A56" s="91" t="s">
        <v>61</v>
      </c>
      <c r="B56" s="92" t="s">
        <v>70</v>
      </c>
      <c r="C56" s="93">
        <f>C57+C58</f>
        <v>1429.5972655999974</v>
      </c>
      <c r="D56" s="93">
        <f>+D46+D49</f>
        <v>39198.56689706</v>
      </c>
      <c r="E56" s="93"/>
      <c r="F56" s="96">
        <f>SUM('2020'!$C56:$E56)</f>
        <v>40628.164162659996</v>
      </c>
      <c r="G56" s="88"/>
      <c r="H56" s="88"/>
      <c r="I56" s="97"/>
    </row>
    <row r="57" spans="1:9" s="98" customFormat="1" ht="14.25">
      <c r="A57" s="25" t="s">
        <v>56</v>
      </c>
      <c r="B57" s="86" t="s">
        <v>70</v>
      </c>
      <c r="C57" s="87">
        <v>352.4099856</v>
      </c>
      <c r="D57" s="87">
        <f>8457.8396544+6.13-0.0001</f>
        <v>8463.9695544</v>
      </c>
      <c r="E57" s="87"/>
      <c r="F57" s="13">
        <f>SUM('2020'!$C57:$E57)</f>
        <v>8816.37954</v>
      </c>
      <c r="G57" s="88"/>
      <c r="H57" s="88"/>
      <c r="I57" s="97"/>
    </row>
    <row r="58" spans="1:9" s="98" customFormat="1" ht="42">
      <c r="A58" s="25" t="s">
        <v>68</v>
      </c>
      <c r="B58" s="86" t="s">
        <v>70</v>
      </c>
      <c r="C58" s="87">
        <v>1077.1872799999974</v>
      </c>
      <c r="D58" s="87">
        <v>25696.83217</v>
      </c>
      <c r="E58" s="87"/>
      <c r="F58" s="13">
        <f>SUM('2020'!$C58:$E58)</f>
        <v>26774.01945</v>
      </c>
      <c r="G58" s="88"/>
      <c r="H58" s="88"/>
      <c r="I58" s="97">
        <f>F57+'2020'!$F58</f>
        <v>35590.39899</v>
      </c>
    </row>
    <row r="59" spans="1:8" ht="14.25">
      <c r="A59" s="64" t="s">
        <v>53</v>
      </c>
      <c r="B59" s="63"/>
      <c r="C59" s="12">
        <f>C57+C58+C49+C46+C38+C37</f>
        <v>29257.209208099997</v>
      </c>
      <c r="D59" s="12">
        <f>D57+D58+D49+D46+D38+D37</f>
        <v>73359.36862146</v>
      </c>
      <c r="E59" s="12">
        <f>SUBTOTAL(109,E37:E58)</f>
        <v>0</v>
      </c>
      <c r="F59" s="12" t="s">
        <v>110</v>
      </c>
      <c r="G59" s="82"/>
      <c r="H59" s="82"/>
    </row>
    <row r="60" spans="1:6" ht="20.25">
      <c r="A60" s="126" t="s">
        <v>49</v>
      </c>
      <c r="B60" s="126"/>
      <c r="C60" s="126"/>
      <c r="D60" s="126"/>
      <c r="E60" s="14"/>
      <c r="F60" s="59"/>
    </row>
    <row r="61" spans="1:12" ht="14.25">
      <c r="A61" s="65" t="s">
        <v>0</v>
      </c>
      <c r="B61" s="66" t="s">
        <v>63</v>
      </c>
      <c r="C61" s="67" t="s">
        <v>2</v>
      </c>
      <c r="D61" s="67" t="s">
        <v>1</v>
      </c>
      <c r="E61" s="67" t="s">
        <v>3</v>
      </c>
      <c r="F61" s="67" t="s">
        <v>55</v>
      </c>
      <c r="K61" s="11">
        <f>F58+F57</f>
        <v>35590.39899</v>
      </c>
      <c r="L61" s="11">
        <f>35590.4-K61</f>
        <v>0.0010099999999511056</v>
      </c>
    </row>
    <row r="62" spans="1:6" ht="14.25">
      <c r="A62" s="26" t="s">
        <v>75</v>
      </c>
      <c r="B62" s="68" t="s">
        <v>70</v>
      </c>
      <c r="C62" s="13">
        <v>600</v>
      </c>
      <c r="D62" s="13">
        <v>0</v>
      </c>
      <c r="E62" s="13"/>
      <c r="F62" s="13">
        <f>'2020'!$C62+'2020'!$D62+'2020'!$E62</f>
        <v>600</v>
      </c>
    </row>
    <row r="63" spans="1:6" ht="14.25">
      <c r="A63" s="26" t="s">
        <v>76</v>
      </c>
      <c r="B63" s="68" t="s">
        <v>70</v>
      </c>
      <c r="C63" s="13">
        <v>400</v>
      </c>
      <c r="D63" s="13">
        <v>0</v>
      </c>
      <c r="E63" s="13"/>
      <c r="F63" s="13">
        <f>'2020'!$C63+'2020'!$D63+'2020'!$E63</f>
        <v>400</v>
      </c>
    </row>
    <row r="64" spans="1:8" ht="14.25">
      <c r="A64" s="26" t="s">
        <v>77</v>
      </c>
      <c r="B64" s="68" t="s">
        <v>70</v>
      </c>
      <c r="C64" s="13">
        <v>1000</v>
      </c>
      <c r="D64" s="13">
        <v>0</v>
      </c>
      <c r="E64" s="13"/>
      <c r="F64" s="13">
        <f>'2020'!$C64+'2020'!$D64+'2020'!$E64</f>
        <v>1000</v>
      </c>
      <c r="H64" s="11">
        <v>102616.57782956</v>
      </c>
    </row>
    <row r="65" spans="1:6" ht="14.25">
      <c r="A65" s="26" t="s">
        <v>78</v>
      </c>
      <c r="B65" s="68" t="s">
        <v>70</v>
      </c>
      <c r="C65" s="13">
        <v>2000</v>
      </c>
      <c r="D65" s="13">
        <v>0</v>
      </c>
      <c r="E65" s="13"/>
      <c r="F65" s="13">
        <f>'2020'!$C65+'2020'!$D65+'2020'!$E65</f>
        <v>2000</v>
      </c>
    </row>
    <row r="66" spans="1:6" ht="14.25">
      <c r="A66" s="26" t="s">
        <v>92</v>
      </c>
      <c r="B66" s="68" t="s">
        <v>70</v>
      </c>
      <c r="C66" s="13">
        <v>1100</v>
      </c>
      <c r="D66" s="13">
        <v>0</v>
      </c>
      <c r="E66" s="13"/>
      <c r="F66" s="13">
        <f>'2020'!$C66+'2020'!$D66+'2020'!$E66</f>
        <v>1100</v>
      </c>
    </row>
    <row r="67" spans="1:6" ht="14.25">
      <c r="A67" s="26" t="s">
        <v>19</v>
      </c>
      <c r="B67" s="68" t="s">
        <v>70</v>
      </c>
      <c r="C67" s="13">
        <v>7976.6</v>
      </c>
      <c r="D67" s="13">
        <v>0</v>
      </c>
      <c r="E67" s="13"/>
      <c r="F67" s="13">
        <f>'2020'!$C67+'2020'!$D67+'2020'!$E67</f>
        <v>7976.6</v>
      </c>
    </row>
    <row r="68" spans="1:6" ht="14.25">
      <c r="A68" s="26" t="s">
        <v>79</v>
      </c>
      <c r="B68" s="68" t="s">
        <v>70</v>
      </c>
      <c r="C68" s="13">
        <f>1059.778149875+102.71</f>
        <v>1162.488149875</v>
      </c>
      <c r="D68" s="13">
        <v>0</v>
      </c>
      <c r="E68" s="13"/>
      <c r="F68" s="13">
        <f>'2020'!$C68+'2020'!$D68+'2020'!$E68</f>
        <v>1162.488149875</v>
      </c>
    </row>
    <row r="69" spans="1:6" ht="14.25">
      <c r="A69" s="69" t="s">
        <v>61</v>
      </c>
      <c r="B69" s="70"/>
      <c r="C69" s="10"/>
      <c r="D69" s="10"/>
      <c r="E69" s="10"/>
      <c r="F69" s="10"/>
    </row>
    <row r="70" spans="1:6" ht="27">
      <c r="A70" s="26" t="s">
        <v>64</v>
      </c>
      <c r="B70" s="68" t="s">
        <v>71</v>
      </c>
      <c r="C70" s="13">
        <v>1027.8624574999997</v>
      </c>
      <c r="D70" s="71">
        <v>28203.650150499998</v>
      </c>
      <c r="E70" s="13"/>
      <c r="F70" s="13">
        <f>SUM('2020'!$C70:$E70)</f>
        <v>29231.512607999997</v>
      </c>
    </row>
    <row r="71" spans="1:6" ht="30.75">
      <c r="A71" s="33" t="s">
        <v>80</v>
      </c>
      <c r="B71" s="68" t="s">
        <v>71</v>
      </c>
      <c r="C71" s="13">
        <v>1484.4026395</v>
      </c>
      <c r="D71" s="44">
        <v>10165.263472999999</v>
      </c>
      <c r="E71" s="13"/>
      <c r="F71" s="13">
        <f>SUM('2020'!$C71:$E71)</f>
        <v>11649.6661125</v>
      </c>
    </row>
    <row r="72" spans="1:6" ht="46.5">
      <c r="A72" s="33" t="s">
        <v>81</v>
      </c>
      <c r="B72" s="68" t="s">
        <v>71</v>
      </c>
      <c r="C72" s="13">
        <v>535.013867</v>
      </c>
      <c r="D72" s="44">
        <v>11263.031412999999</v>
      </c>
      <c r="E72" s="13"/>
      <c r="F72" s="13">
        <f>SUM('2020'!$C72:$E72)</f>
        <v>11798.045279999998</v>
      </c>
    </row>
    <row r="73" spans="1:6" ht="30.75">
      <c r="A73" s="33" t="s">
        <v>82</v>
      </c>
      <c r="B73" s="68" t="s">
        <v>71</v>
      </c>
      <c r="C73" s="13">
        <v>592.791127</v>
      </c>
      <c r="D73" s="44">
        <v>10109.826356000001</v>
      </c>
      <c r="E73" s="13"/>
      <c r="F73" s="13">
        <f>SUM('2020'!$C73:$E73)</f>
        <v>10702.617483000002</v>
      </c>
    </row>
    <row r="74" spans="1:6" ht="46.5">
      <c r="A74" s="50" t="s">
        <v>83</v>
      </c>
      <c r="B74" s="68" t="s">
        <v>71</v>
      </c>
      <c r="C74" s="13">
        <v>532.096124</v>
      </c>
      <c r="D74" s="45">
        <v>11473.946442</v>
      </c>
      <c r="E74" s="13"/>
      <c r="F74" s="13">
        <f>SUM('2020'!$C74:$E74)</f>
        <v>12006.042566</v>
      </c>
    </row>
    <row r="75" spans="1:6" ht="46.5">
      <c r="A75" s="50" t="s">
        <v>84</v>
      </c>
      <c r="B75" s="68" t="s">
        <v>71</v>
      </c>
      <c r="C75" s="13">
        <v>603.8919179999999</v>
      </c>
      <c r="D75" s="44">
        <v>18552.917357874998</v>
      </c>
      <c r="E75" s="13"/>
      <c r="F75" s="13">
        <f>SUM('2020'!$C75:$E75)</f>
        <v>19156.809275875</v>
      </c>
    </row>
    <row r="76" spans="1:6" ht="30.75">
      <c r="A76" s="50" t="s">
        <v>86</v>
      </c>
      <c r="B76" s="68" t="s">
        <v>71</v>
      </c>
      <c r="C76" s="13">
        <v>439.17086631578945</v>
      </c>
      <c r="D76" s="44">
        <f>11272.13646-2927.89</f>
        <v>8344.24646</v>
      </c>
      <c r="E76" s="13"/>
      <c r="F76" s="13">
        <f>'2020'!$C76+'2020'!$D76+'2020'!$E76</f>
        <v>8783.41732631579</v>
      </c>
    </row>
    <row r="77" spans="1:6" ht="30.75">
      <c r="A77" s="50" t="s">
        <v>85</v>
      </c>
      <c r="B77" s="68" t="s">
        <v>71</v>
      </c>
      <c r="C77" s="13">
        <v>767.2165</v>
      </c>
      <c r="D77" s="44">
        <v>14577.1135</v>
      </c>
      <c r="E77" s="13"/>
      <c r="F77" s="13">
        <f>'2020'!$C77+'2020'!$D77+'2020'!$E77</f>
        <v>15344.33</v>
      </c>
    </row>
    <row r="78" spans="1:6" ht="14.25">
      <c r="A78" s="72" t="s">
        <v>53</v>
      </c>
      <c r="B78" s="48"/>
      <c r="C78" s="13">
        <f>SUBTOTAL(109,C62:C77)</f>
        <v>20221.533649190787</v>
      </c>
      <c r="D78" s="13">
        <f>SUBTOTAL(109,D62:D77)</f>
        <v>112689.99515237499</v>
      </c>
      <c r="E78" s="13">
        <f>SUBTOTAL(109,E62:E77)</f>
        <v>0</v>
      </c>
      <c r="F78" s="100">
        <f>SUBTOTAL(109,F62:F77)</f>
        <v>132911.5288015658</v>
      </c>
    </row>
    <row r="79" spans="1:6" ht="21">
      <c r="A79" s="135" t="s">
        <v>50</v>
      </c>
      <c r="B79" s="136"/>
      <c r="C79" s="136"/>
      <c r="D79" s="136"/>
      <c r="E79" s="73"/>
      <c r="F79" s="59"/>
    </row>
    <row r="80" spans="1:9" ht="14.25">
      <c r="A80" s="74" t="s">
        <v>0</v>
      </c>
      <c r="B80" s="66" t="s">
        <v>63</v>
      </c>
      <c r="C80" s="67" t="s">
        <v>2</v>
      </c>
      <c r="D80" s="67" t="s">
        <v>1</v>
      </c>
      <c r="E80" s="67" t="s">
        <v>3</v>
      </c>
      <c r="F80" s="67" t="s">
        <v>55</v>
      </c>
      <c r="G80" s="105" t="s">
        <v>106</v>
      </c>
      <c r="H80" s="105" t="s">
        <v>109</v>
      </c>
      <c r="I80" s="105" t="s">
        <v>113</v>
      </c>
    </row>
    <row r="81" spans="1:9" ht="14.25">
      <c r="A81" s="75" t="s">
        <v>87</v>
      </c>
      <c r="B81" s="68" t="s">
        <v>72</v>
      </c>
      <c r="C81" s="13">
        <v>600</v>
      </c>
      <c r="D81" s="67"/>
      <c r="E81" s="67"/>
      <c r="F81" s="13">
        <f>'2020'!$C81+'2020'!$D81+'2020'!$E81</f>
        <v>600</v>
      </c>
      <c r="G81" s="88"/>
      <c r="H81" s="88"/>
      <c r="I81" s="88"/>
    </row>
    <row r="82" spans="1:9" ht="14.25">
      <c r="A82" s="75" t="s">
        <v>76</v>
      </c>
      <c r="B82" s="68" t="s">
        <v>72</v>
      </c>
      <c r="C82" s="13">
        <v>400</v>
      </c>
      <c r="D82" s="67"/>
      <c r="E82" s="67"/>
      <c r="F82" s="13">
        <f>'2020'!$C82+'2020'!$D82+'2020'!$E82</f>
        <v>400</v>
      </c>
      <c r="G82" s="88"/>
      <c r="H82" s="88"/>
      <c r="I82" s="88"/>
    </row>
    <row r="83" spans="1:9" ht="27">
      <c r="A83" s="75" t="s">
        <v>62</v>
      </c>
      <c r="B83" s="68" t="s">
        <v>72</v>
      </c>
      <c r="C83" s="13">
        <f>5046.72+619.66-343+0.779+0.01+0.74-1000</f>
        <v>4324.909000000001</v>
      </c>
      <c r="D83" s="13"/>
      <c r="E83" s="13"/>
      <c r="F83" s="13">
        <f>'2020'!$C83+'2020'!$D83+'2020'!$E83</f>
        <v>4324.909000000001</v>
      </c>
      <c r="G83" s="88"/>
      <c r="H83" s="88"/>
      <c r="I83" s="88"/>
    </row>
    <row r="84" spans="1:9" ht="14.25">
      <c r="A84" s="75" t="s">
        <v>19</v>
      </c>
      <c r="B84" s="68" t="s">
        <v>72</v>
      </c>
      <c r="C84" s="13">
        <v>7976.6</v>
      </c>
      <c r="D84" s="13"/>
      <c r="E84" s="13"/>
      <c r="F84" s="13">
        <f>'2020'!$C84+'2020'!$D84+'2020'!$E84</f>
        <v>7976.6</v>
      </c>
      <c r="G84" s="88"/>
      <c r="H84" s="88"/>
      <c r="I84" s="88"/>
    </row>
    <row r="85" spans="1:9" ht="14.25">
      <c r="A85" s="75" t="s">
        <v>79</v>
      </c>
      <c r="B85" s="68" t="s">
        <v>72</v>
      </c>
      <c r="C85" s="13">
        <f>2064.15</f>
        <v>2064.15</v>
      </c>
      <c r="D85" s="13"/>
      <c r="E85" s="13"/>
      <c r="F85" s="13">
        <f>'2020'!$C85+'2020'!$D85+'2020'!$E85</f>
        <v>2064.15</v>
      </c>
      <c r="G85" s="88"/>
      <c r="H85" s="88"/>
      <c r="I85" s="88"/>
    </row>
    <row r="86" spans="1:9" ht="14.25">
      <c r="A86" s="69" t="s">
        <v>61</v>
      </c>
      <c r="B86" s="70"/>
      <c r="C86" s="10"/>
      <c r="D86" s="10"/>
      <c r="E86" s="10"/>
      <c r="F86" s="10"/>
      <c r="G86" s="88"/>
      <c r="H86" s="88"/>
      <c r="I86" s="88"/>
    </row>
    <row r="87" spans="1:9" ht="14.25">
      <c r="A87" s="75" t="s">
        <v>20</v>
      </c>
      <c r="B87" s="68" t="s">
        <v>72</v>
      </c>
      <c r="C87" s="13">
        <v>850</v>
      </c>
      <c r="D87" s="13">
        <f>'2020'!$F87-'2020'!$C87</f>
        <v>16150</v>
      </c>
      <c r="E87" s="13"/>
      <c r="F87" s="13">
        <v>17000</v>
      </c>
      <c r="G87" s="88"/>
      <c r="H87" s="88"/>
      <c r="I87" s="88"/>
    </row>
    <row r="88" spans="1:9" ht="14.25">
      <c r="A88" s="75" t="s">
        <v>21</v>
      </c>
      <c r="B88" s="68" t="s">
        <v>72</v>
      </c>
      <c r="C88" s="13">
        <v>700</v>
      </c>
      <c r="D88" s="13">
        <f>'2020'!$F88-'2020'!$C88</f>
        <v>13300</v>
      </c>
      <c r="E88" s="13"/>
      <c r="F88" s="13">
        <v>14000</v>
      </c>
      <c r="G88" s="88"/>
      <c r="H88" s="88"/>
      <c r="I88" s="88"/>
    </row>
    <row r="89" spans="1:9" ht="14.25">
      <c r="A89" s="75" t="s">
        <v>93</v>
      </c>
      <c r="B89" s="68" t="s">
        <v>72</v>
      </c>
      <c r="C89" s="13">
        <v>850</v>
      </c>
      <c r="D89" s="13">
        <f>'2020'!$F89-'2020'!$C89</f>
        <v>16150</v>
      </c>
      <c r="E89" s="13"/>
      <c r="F89" s="13">
        <v>17000</v>
      </c>
      <c r="G89" s="88"/>
      <c r="H89" s="88"/>
      <c r="I89" s="88"/>
    </row>
    <row r="90" spans="1:9" ht="14.25">
      <c r="A90" s="75" t="s">
        <v>111</v>
      </c>
      <c r="B90" s="68" t="s">
        <v>72</v>
      </c>
      <c r="C90" s="13">
        <v>468</v>
      </c>
      <c r="D90" s="13">
        <f>'2020'!$F90-'2020'!$C90</f>
        <v>8892</v>
      </c>
      <c r="E90" s="13"/>
      <c r="F90" s="13">
        <v>9360</v>
      </c>
      <c r="G90" s="88"/>
      <c r="H90" s="88"/>
      <c r="I90" s="88"/>
    </row>
    <row r="91" spans="1:9" ht="14.25">
      <c r="A91" s="75" t="s">
        <v>94</v>
      </c>
      <c r="B91" s="68" t="s">
        <v>72</v>
      </c>
      <c r="C91" s="13">
        <v>850</v>
      </c>
      <c r="D91" s="13">
        <f>'2020'!$F91-'2020'!$C91</f>
        <v>16150</v>
      </c>
      <c r="E91" s="13"/>
      <c r="F91" s="13">
        <v>17000</v>
      </c>
      <c r="G91" s="88"/>
      <c r="H91" s="88"/>
      <c r="I91" s="88"/>
    </row>
    <row r="92" spans="1:9" ht="14.25">
      <c r="A92" s="75" t="s">
        <v>95</v>
      </c>
      <c r="B92" s="68" t="s">
        <v>72</v>
      </c>
      <c r="C92" s="13">
        <v>872.7</v>
      </c>
      <c r="D92" s="13">
        <f>'2020'!$F92-'2020'!$C92</f>
        <v>16581.3</v>
      </c>
      <c r="E92" s="13"/>
      <c r="F92" s="13">
        <v>17454</v>
      </c>
      <c r="G92" s="88"/>
      <c r="H92" s="88"/>
      <c r="I92" s="88"/>
    </row>
    <row r="93" spans="1:9" ht="14.25">
      <c r="A93" s="75" t="s">
        <v>112</v>
      </c>
      <c r="B93" s="68" t="s">
        <v>72</v>
      </c>
      <c r="C93" s="13">
        <v>299.158</v>
      </c>
      <c r="D93" s="13">
        <f>'2020'!$F93-'2020'!$C93</f>
        <v>5684.0019999999995</v>
      </c>
      <c r="E93" s="13"/>
      <c r="F93" s="13">
        <v>5983.16</v>
      </c>
      <c r="G93" s="88"/>
      <c r="H93" s="88"/>
      <c r="I93" s="88"/>
    </row>
    <row r="94" spans="1:10" ht="14.25">
      <c r="A94" s="76" t="s">
        <v>53</v>
      </c>
      <c r="B94" s="68"/>
      <c r="C94" s="13">
        <f>C81+C82+C83+C84+C85+C87+C88+C89+C90+C91+C92+C93</f>
        <v>20255.517</v>
      </c>
      <c r="D94" s="13">
        <f>SUBTOTAL(109,D81:D93)</f>
        <v>92907.302</v>
      </c>
      <c r="E94" s="13"/>
      <c r="F94" s="13">
        <f>F81+F82+F83+F84+F85+F87+F88+F89+F90+F91+F92+F93</f>
        <v>113162.819</v>
      </c>
      <c r="G94" s="104"/>
      <c r="H94" s="104"/>
      <c r="I94" s="104"/>
      <c r="J94" s="11"/>
    </row>
    <row r="95" spans="1:6" ht="20.25">
      <c r="A95" s="137" t="s">
        <v>51</v>
      </c>
      <c r="B95" s="137"/>
      <c r="C95" s="137"/>
      <c r="D95" s="137"/>
      <c r="E95" s="73"/>
      <c r="F95" s="59"/>
    </row>
    <row r="96" spans="1:6" ht="14.25">
      <c r="A96" s="74" t="s">
        <v>0</v>
      </c>
      <c r="B96" s="55" t="s">
        <v>63</v>
      </c>
      <c r="C96" s="67" t="s">
        <v>2</v>
      </c>
      <c r="D96" s="67" t="s">
        <v>1</v>
      </c>
      <c r="E96" s="67" t="s">
        <v>3</v>
      </c>
      <c r="F96" s="67" t="s">
        <v>55</v>
      </c>
    </row>
    <row r="97" spans="1:6" ht="14.25">
      <c r="A97" s="80" t="s">
        <v>105</v>
      </c>
      <c r="B97" s="55"/>
      <c r="C97" s="67"/>
      <c r="D97" s="67"/>
      <c r="E97" s="67"/>
      <c r="F97" s="67">
        <f>'2020'!$E97+'2020'!$D97+'2020'!$C97</f>
        <v>0</v>
      </c>
    </row>
    <row r="98" spans="1:6" ht="14.25">
      <c r="A98" s="75" t="s">
        <v>87</v>
      </c>
      <c r="B98" s="68" t="s">
        <v>73</v>
      </c>
      <c r="C98" s="13">
        <v>600</v>
      </c>
      <c r="D98" s="67"/>
      <c r="E98" s="67"/>
      <c r="F98" s="13">
        <f>'2020'!$E98+'2020'!$D98+'2020'!$C98</f>
        <v>600</v>
      </c>
    </row>
    <row r="99" spans="1:6" ht="14.25">
      <c r="A99" s="75" t="s">
        <v>76</v>
      </c>
      <c r="B99" s="68" t="s">
        <v>73</v>
      </c>
      <c r="C99" s="13">
        <v>400</v>
      </c>
      <c r="D99" s="67"/>
      <c r="E99" s="67"/>
      <c r="F99" s="13">
        <f>'2020'!$E99+'2020'!$D99+'2020'!$C99</f>
        <v>400</v>
      </c>
    </row>
    <row r="100" spans="1:6" ht="27">
      <c r="A100" s="75" t="s">
        <v>62</v>
      </c>
      <c r="B100" s="68" t="s">
        <v>73</v>
      </c>
      <c r="C100" s="13">
        <f>4046.72+58.53+0.15</f>
        <v>4105.4</v>
      </c>
      <c r="D100" s="67"/>
      <c r="E100" s="67"/>
      <c r="F100" s="13">
        <f>'2020'!$E100+'2020'!$D100+'2020'!$C100</f>
        <v>4105.4</v>
      </c>
    </row>
    <row r="101" spans="1:6" ht="14.25">
      <c r="A101" s="75" t="s">
        <v>19</v>
      </c>
      <c r="B101" s="68" t="s">
        <v>73</v>
      </c>
      <c r="C101" s="13">
        <v>7976.6</v>
      </c>
      <c r="D101" s="67"/>
      <c r="E101" s="67"/>
      <c r="F101" s="13">
        <f>'2020'!$E101+'2020'!$D101+'2020'!$C101</f>
        <v>7976.6</v>
      </c>
    </row>
    <row r="102" spans="1:11" ht="14.25">
      <c r="A102" s="75" t="s">
        <v>79</v>
      </c>
      <c r="B102" s="68" t="s">
        <v>73</v>
      </c>
      <c r="C102" s="13">
        <v>2064.15</v>
      </c>
      <c r="D102" s="67"/>
      <c r="E102" s="67"/>
      <c r="F102" s="13">
        <f>'2020'!$E102+'2020'!$D102+'2020'!$C102</f>
        <v>2064.15</v>
      </c>
      <c r="K102" s="11"/>
    </row>
    <row r="103" spans="1:11" ht="14.25">
      <c r="A103" s="75" t="s">
        <v>61</v>
      </c>
      <c r="B103" s="68"/>
      <c r="C103" s="13"/>
      <c r="D103" s="13"/>
      <c r="E103" s="13"/>
      <c r="F103" s="13">
        <f>'2020'!$E103+'2020'!$D103+'2020'!$C103</f>
        <v>0</v>
      </c>
      <c r="K103" s="11"/>
    </row>
    <row r="104" spans="1:11" s="108" customFormat="1" ht="14.25">
      <c r="A104" s="107" t="s">
        <v>22</v>
      </c>
      <c r="B104" s="86" t="s">
        <v>73</v>
      </c>
      <c r="C104" s="87">
        <v>1200</v>
      </c>
      <c r="D104" s="87">
        <v>22800</v>
      </c>
      <c r="E104" s="87"/>
      <c r="F104" s="87">
        <v>24000</v>
      </c>
      <c r="H104" s="109"/>
      <c r="I104" s="109"/>
      <c r="J104" s="109"/>
      <c r="K104" s="109"/>
    </row>
    <row r="105" spans="1:11" s="108" customFormat="1" ht="14.25">
      <c r="A105" s="107" t="s">
        <v>114</v>
      </c>
      <c r="B105" s="86" t="s">
        <v>73</v>
      </c>
      <c r="C105" s="87">
        <v>200</v>
      </c>
      <c r="D105" s="87">
        <v>3800</v>
      </c>
      <c r="E105" s="87"/>
      <c r="F105" s="87">
        <v>4000</v>
      </c>
      <c r="H105" s="109"/>
      <c r="I105" s="109"/>
      <c r="J105" s="109"/>
      <c r="K105" s="109"/>
    </row>
    <row r="106" spans="1:11" s="108" customFormat="1" ht="14.25">
      <c r="A106" s="107" t="s">
        <v>115</v>
      </c>
      <c r="B106" s="86" t="s">
        <v>73</v>
      </c>
      <c r="C106" s="87">
        <v>840</v>
      </c>
      <c r="D106" s="87">
        <v>15960</v>
      </c>
      <c r="E106" s="87"/>
      <c r="F106" s="87">
        <v>16800</v>
      </c>
      <c r="H106" s="109"/>
      <c r="I106" s="109"/>
      <c r="J106" s="109"/>
      <c r="K106" s="109"/>
    </row>
    <row r="107" spans="1:11" s="108" customFormat="1" ht="14.25" hidden="1">
      <c r="A107" s="107"/>
      <c r="B107" s="86"/>
      <c r="C107" s="87"/>
      <c r="D107" s="87"/>
      <c r="E107" s="87"/>
      <c r="F107" s="87"/>
      <c r="H107" s="109"/>
      <c r="I107" s="109"/>
      <c r="J107" s="109"/>
      <c r="K107" s="109"/>
    </row>
    <row r="108" spans="1:11" s="108" customFormat="1" ht="14.25" hidden="1">
      <c r="A108" s="107"/>
      <c r="B108" s="86"/>
      <c r="C108" s="87"/>
      <c r="D108" s="87"/>
      <c r="E108" s="87"/>
      <c r="F108" s="87"/>
      <c r="H108" s="109"/>
      <c r="I108" s="109"/>
      <c r="J108" s="109"/>
      <c r="K108" s="109"/>
    </row>
    <row r="109" spans="1:11" s="112" customFormat="1" ht="14.25">
      <c r="A109" s="107" t="s">
        <v>116</v>
      </c>
      <c r="B109" s="110" t="s">
        <v>73</v>
      </c>
      <c r="C109" s="87">
        <v>165</v>
      </c>
      <c r="D109" s="87">
        <v>3135</v>
      </c>
      <c r="E109" s="111"/>
      <c r="F109" s="87">
        <v>3300</v>
      </c>
      <c r="H109" s="113"/>
      <c r="I109" s="109"/>
      <c r="J109" s="109"/>
      <c r="K109" s="109"/>
    </row>
    <row r="110" spans="1:11" s="108" customFormat="1" ht="14.25">
      <c r="A110" s="107" t="s">
        <v>23</v>
      </c>
      <c r="B110" s="86" t="s">
        <v>73</v>
      </c>
      <c r="C110" s="87">
        <v>600</v>
      </c>
      <c r="D110" s="87">
        <v>11400</v>
      </c>
      <c r="E110" s="87"/>
      <c r="F110" s="87">
        <v>12000</v>
      </c>
      <c r="H110" s="109"/>
      <c r="I110" s="109"/>
      <c r="J110" s="109"/>
      <c r="K110" s="109"/>
    </row>
    <row r="111" spans="1:11" s="108" customFormat="1" ht="14.25">
      <c r="A111" s="107" t="s">
        <v>117</v>
      </c>
      <c r="B111" s="86" t="s">
        <v>73</v>
      </c>
      <c r="C111" s="87">
        <v>400</v>
      </c>
      <c r="D111" s="87">
        <v>7600</v>
      </c>
      <c r="E111" s="87"/>
      <c r="F111" s="87">
        <v>8000</v>
      </c>
      <c r="H111" s="109"/>
      <c r="I111" s="109"/>
      <c r="J111" s="109">
        <f>F112-H112</f>
        <v>28213.005</v>
      </c>
      <c r="K111" s="109"/>
    </row>
    <row r="112" spans="1:11" s="108" customFormat="1" ht="14.25">
      <c r="A112" s="107"/>
      <c r="B112" s="86"/>
      <c r="C112" s="87">
        <v>1484.8950000000002</v>
      </c>
      <c r="D112" s="87">
        <v>28213.005</v>
      </c>
      <c r="E112" s="87"/>
      <c r="F112" s="114">
        <v>29697.9</v>
      </c>
      <c r="H112" s="109">
        <f>'2020'!$F112*5%</f>
        <v>1484.8950000000002</v>
      </c>
      <c r="I112" s="109"/>
      <c r="J112" s="109"/>
      <c r="K112" s="109"/>
    </row>
    <row r="113" spans="1:10" ht="14.25">
      <c r="A113" s="75"/>
      <c r="B113" s="68"/>
      <c r="C113" s="103"/>
      <c r="D113" s="103"/>
      <c r="E113" s="13"/>
      <c r="F113" s="13"/>
      <c r="I113" s="106"/>
      <c r="J113" s="106"/>
    </row>
    <row r="114" spans="1:6" ht="14.25">
      <c r="A114" s="76" t="s">
        <v>53</v>
      </c>
      <c r="B114" s="68"/>
      <c r="C114" s="13">
        <f>C98+C99+C100+C101+C102+C104+C105+C106+C109+C110+C111+C112</f>
        <v>20036.045000000002</v>
      </c>
      <c r="D114" s="13">
        <f>SUBTOTAL(109,D97:D113)</f>
        <v>92908.005</v>
      </c>
      <c r="E114" s="13">
        <f>SUBTOTAL(109,E97:E113)</f>
        <v>0</v>
      </c>
      <c r="F114" s="13">
        <f>SUBTOTAL(109,F97:F113)</f>
        <v>112944.04999999999</v>
      </c>
    </row>
    <row r="115" spans="1:6" ht="20.25">
      <c r="A115" s="137" t="s">
        <v>52</v>
      </c>
      <c r="B115" s="137"/>
      <c r="C115" s="137"/>
      <c r="D115" s="137"/>
      <c r="E115" s="73"/>
      <c r="F115" s="59"/>
    </row>
    <row r="116" spans="1:6" ht="14.25">
      <c r="A116" s="74" t="s">
        <v>0</v>
      </c>
      <c r="B116" s="66" t="s">
        <v>63</v>
      </c>
      <c r="C116" s="67" t="s">
        <v>2</v>
      </c>
      <c r="D116" s="67" t="s">
        <v>1</v>
      </c>
      <c r="E116" s="67" t="s">
        <v>3</v>
      </c>
      <c r="F116" s="67" t="s">
        <v>55</v>
      </c>
    </row>
    <row r="117" spans="1:10" ht="14.25">
      <c r="A117" s="75" t="s">
        <v>87</v>
      </c>
      <c r="B117" s="68" t="s">
        <v>74</v>
      </c>
      <c r="C117" s="13">
        <v>600</v>
      </c>
      <c r="D117" s="13"/>
      <c r="E117" s="13"/>
      <c r="F117" s="13">
        <f>SUM('2020'!$C117:$E117)</f>
        <v>600</v>
      </c>
      <c r="J117" s="11"/>
    </row>
    <row r="118" spans="1:11" ht="14.25">
      <c r="A118" s="75" t="s">
        <v>76</v>
      </c>
      <c r="B118" s="68" t="s">
        <v>74</v>
      </c>
      <c r="C118" s="13">
        <v>400</v>
      </c>
      <c r="D118" s="13"/>
      <c r="E118" s="13"/>
      <c r="F118" s="13">
        <f>SUM('2020'!$C118:$E118)</f>
        <v>400</v>
      </c>
      <c r="K118" s="11"/>
    </row>
    <row r="119" spans="1:6" ht="27">
      <c r="A119" s="75" t="s">
        <v>62</v>
      </c>
      <c r="B119" s="68" t="s">
        <v>74</v>
      </c>
      <c r="C119" s="13">
        <v>4105.4</v>
      </c>
      <c r="D119" s="13"/>
      <c r="E119" s="13"/>
      <c r="F119" s="13">
        <f>SUM('2020'!$C119:$E119)</f>
        <v>4105.4</v>
      </c>
    </row>
    <row r="120" spans="1:6" ht="14.25">
      <c r="A120" s="75" t="s">
        <v>19</v>
      </c>
      <c r="B120" s="68" t="s">
        <v>74</v>
      </c>
      <c r="C120" s="13">
        <v>7976.6</v>
      </c>
      <c r="D120" s="13"/>
      <c r="E120" s="13"/>
      <c r="F120" s="13">
        <f>SUM('2020'!$C120:$E120)</f>
        <v>7976.6</v>
      </c>
    </row>
    <row r="121" spans="1:6" ht="14.25">
      <c r="A121" s="75" t="s">
        <v>79</v>
      </c>
      <c r="B121" s="68" t="s">
        <v>74</v>
      </c>
      <c r="C121" s="13">
        <v>2064.15</v>
      </c>
      <c r="D121" s="13"/>
      <c r="E121" s="13"/>
      <c r="F121" s="13">
        <f>SUM('2020'!$C121:$E121)</f>
        <v>2064.15</v>
      </c>
    </row>
    <row r="122" spans="1:6" ht="14.25">
      <c r="A122" s="75" t="s">
        <v>33</v>
      </c>
      <c r="B122" s="68" t="s">
        <v>74</v>
      </c>
      <c r="C122" s="13">
        <v>630</v>
      </c>
      <c r="D122" s="13">
        <v>12000</v>
      </c>
      <c r="E122" s="13"/>
      <c r="F122" s="13">
        <f>SUM('2020'!$C122:$E122)</f>
        <v>12630</v>
      </c>
    </row>
    <row r="123" spans="1:6" ht="14.25">
      <c r="A123" s="75" t="s">
        <v>34</v>
      </c>
      <c r="B123" s="68" t="s">
        <v>74</v>
      </c>
      <c r="C123" s="13">
        <v>63</v>
      </c>
      <c r="D123" s="13">
        <v>1200</v>
      </c>
      <c r="E123" s="13"/>
      <c r="F123" s="13">
        <f>SUM('2020'!$C123:$E123)</f>
        <v>1263</v>
      </c>
    </row>
    <row r="124" spans="1:6" ht="14.25">
      <c r="A124" s="75" t="s">
        <v>35</v>
      </c>
      <c r="B124" s="68" t="s">
        <v>74</v>
      </c>
      <c r="C124" s="13">
        <v>294</v>
      </c>
      <c r="D124" s="13">
        <v>5600</v>
      </c>
      <c r="E124" s="13"/>
      <c r="F124" s="13">
        <f>SUM('2020'!$C124:$E124)</f>
        <v>5894</v>
      </c>
    </row>
    <row r="125" spans="1:6" ht="14.25">
      <c r="A125" s="75" t="s">
        <v>36</v>
      </c>
      <c r="B125" s="68" t="s">
        <v>74</v>
      </c>
      <c r="C125" s="13">
        <v>240</v>
      </c>
      <c r="D125" s="13">
        <v>3200</v>
      </c>
      <c r="E125" s="13"/>
      <c r="F125" s="13">
        <f>SUM('2020'!$C125:$E125)</f>
        <v>3440</v>
      </c>
    </row>
    <row r="126" spans="1:6" ht="14.25">
      <c r="A126" s="75" t="s">
        <v>37</v>
      </c>
      <c r="B126" s="68" t="s">
        <v>74</v>
      </c>
      <c r="C126" s="13">
        <v>118.125</v>
      </c>
      <c r="D126" s="13">
        <v>2250</v>
      </c>
      <c r="E126" s="13"/>
      <c r="F126" s="13">
        <f>SUM('2020'!$C126:$E126)</f>
        <v>2368.125</v>
      </c>
    </row>
    <row r="127" spans="1:6" ht="14.25">
      <c r="A127" s="75" t="s">
        <v>38</v>
      </c>
      <c r="B127" s="68" t="s">
        <v>74</v>
      </c>
      <c r="C127" s="13">
        <v>168</v>
      </c>
      <c r="D127" s="13">
        <v>3200</v>
      </c>
      <c r="E127" s="13"/>
      <c r="F127" s="13">
        <f>SUM('2020'!$C127:$E127)</f>
        <v>3368</v>
      </c>
    </row>
    <row r="128" spans="1:6" ht="14.25">
      <c r="A128" s="75" t="s">
        <v>39</v>
      </c>
      <c r="B128" s="68" t="s">
        <v>74</v>
      </c>
      <c r="C128" s="13">
        <v>202.125</v>
      </c>
      <c r="D128" s="13">
        <v>3850</v>
      </c>
      <c r="E128" s="13"/>
      <c r="F128" s="13">
        <f>SUM('2020'!$C128:$E128)</f>
        <v>4052.125</v>
      </c>
    </row>
    <row r="129" spans="1:6" ht="14.25">
      <c r="A129" s="75" t="s">
        <v>40</v>
      </c>
      <c r="B129" s="68" t="s">
        <v>74</v>
      </c>
      <c r="C129" s="13">
        <v>141.75</v>
      </c>
      <c r="D129" s="13">
        <v>2700</v>
      </c>
      <c r="E129" s="13"/>
      <c r="F129" s="13">
        <f>SUM('2020'!$C129:$E129)</f>
        <v>2841.75</v>
      </c>
    </row>
    <row r="130" spans="1:6" ht="14.25">
      <c r="A130" s="75" t="s">
        <v>24</v>
      </c>
      <c r="B130" s="68" t="s">
        <v>74</v>
      </c>
      <c r="C130" s="13">
        <v>94.5</v>
      </c>
      <c r="D130" s="13">
        <v>1800</v>
      </c>
      <c r="E130" s="13"/>
      <c r="F130" s="13">
        <f>SUM('2020'!$C130:$E130)</f>
        <v>1894.5</v>
      </c>
    </row>
    <row r="131" spans="1:6" ht="27">
      <c r="A131" s="75" t="s">
        <v>25</v>
      </c>
      <c r="B131" s="68" t="s">
        <v>74</v>
      </c>
      <c r="C131" s="13">
        <v>259.875</v>
      </c>
      <c r="D131" s="13">
        <v>4950</v>
      </c>
      <c r="E131" s="13"/>
      <c r="F131" s="13">
        <f>SUM('2020'!$C131:$E131)</f>
        <v>5209.875</v>
      </c>
    </row>
    <row r="132" spans="1:6" ht="14.25">
      <c r="A132" s="75" t="s">
        <v>26</v>
      </c>
      <c r="B132" s="68" t="s">
        <v>74</v>
      </c>
      <c r="C132" s="13">
        <v>141.75</v>
      </c>
      <c r="D132" s="13">
        <v>2700</v>
      </c>
      <c r="E132" s="13"/>
      <c r="F132" s="13">
        <f>SUM('2020'!$C132:$E132)</f>
        <v>2841.75</v>
      </c>
    </row>
    <row r="133" spans="1:6" ht="14.25">
      <c r="A133" s="75" t="s">
        <v>27</v>
      </c>
      <c r="B133" s="68" t="s">
        <v>74</v>
      </c>
      <c r="C133" s="13">
        <v>141.75</v>
      </c>
      <c r="D133" s="13">
        <v>2700</v>
      </c>
      <c r="E133" s="13"/>
      <c r="F133" s="13">
        <f>SUM('2020'!$C133:$E133)</f>
        <v>2841.75</v>
      </c>
    </row>
    <row r="134" spans="1:6" ht="14.25">
      <c r="A134" s="75" t="s">
        <v>28</v>
      </c>
      <c r="B134" s="68" t="s">
        <v>74</v>
      </c>
      <c r="C134" s="13">
        <v>210</v>
      </c>
      <c r="D134" s="13">
        <v>4000</v>
      </c>
      <c r="E134" s="13"/>
      <c r="F134" s="13">
        <f>SUM('2020'!$C134:$E134)</f>
        <v>4210</v>
      </c>
    </row>
    <row r="135" spans="1:6" ht="14.25">
      <c r="A135" s="75" t="s">
        <v>29</v>
      </c>
      <c r="B135" s="68" t="s">
        <v>74</v>
      </c>
      <c r="C135" s="13">
        <v>141.75</v>
      </c>
      <c r="D135" s="13">
        <v>2700</v>
      </c>
      <c r="E135" s="13"/>
      <c r="F135" s="13">
        <f>SUM('2020'!$C135:$E135)</f>
        <v>2841.75</v>
      </c>
    </row>
    <row r="136" spans="1:6" ht="14.25">
      <c r="A136" s="75" t="s">
        <v>30</v>
      </c>
      <c r="B136" s="68" t="s">
        <v>74</v>
      </c>
      <c r="C136" s="13">
        <v>315</v>
      </c>
      <c r="D136" s="13">
        <v>6000</v>
      </c>
      <c r="E136" s="13"/>
      <c r="F136" s="13">
        <f>SUM('2020'!$C136:$E136)</f>
        <v>6315</v>
      </c>
    </row>
    <row r="137" spans="1:6" ht="14.25">
      <c r="A137" s="75" t="s">
        <v>31</v>
      </c>
      <c r="B137" s="68" t="s">
        <v>74</v>
      </c>
      <c r="C137" s="13">
        <v>157.5</v>
      </c>
      <c r="D137" s="13">
        <v>3000</v>
      </c>
      <c r="E137" s="13"/>
      <c r="F137" s="13">
        <f>SUM('2020'!$C137:$E137)</f>
        <v>3157.5</v>
      </c>
    </row>
    <row r="138" spans="1:6" ht="14.25">
      <c r="A138" s="75" t="s">
        <v>32</v>
      </c>
      <c r="B138" s="68" t="s">
        <v>74</v>
      </c>
      <c r="C138" s="13">
        <v>141.75</v>
      </c>
      <c r="D138" s="13">
        <v>2700</v>
      </c>
      <c r="E138" s="13"/>
      <c r="F138" s="13">
        <f>SUM('2020'!$C138:$E138)</f>
        <v>2841.75</v>
      </c>
    </row>
    <row r="139" spans="1:6" ht="14.25">
      <c r="A139" s="76" t="s">
        <v>53</v>
      </c>
      <c r="B139" s="68"/>
      <c r="C139" s="13">
        <f>C117+C118+C119+C120+C121</f>
        <v>15146.15</v>
      </c>
      <c r="D139" s="13">
        <f>SUBTOTAL(109,D117:D138)</f>
        <v>64550</v>
      </c>
      <c r="E139" s="13">
        <f>SUBTOTAL(109,E117:E138)</f>
        <v>0</v>
      </c>
      <c r="F139" s="13">
        <f>SUBTOTAL(109,F117:F138)</f>
        <v>83157.025</v>
      </c>
    </row>
    <row r="141" spans="1:9" ht="15">
      <c r="A141" s="132" t="s">
        <v>96</v>
      </c>
      <c r="B141" s="133"/>
      <c r="C141" s="133"/>
      <c r="D141" s="133"/>
      <c r="E141" s="133"/>
      <c r="F141" s="133"/>
      <c r="G141" s="133"/>
      <c r="H141" s="133"/>
      <c r="I141" s="134"/>
    </row>
    <row r="142" spans="1:9" ht="15">
      <c r="A142" s="127" t="s">
        <v>97</v>
      </c>
      <c r="B142" s="128" t="s">
        <v>98</v>
      </c>
      <c r="C142" s="129" t="s">
        <v>99</v>
      </c>
      <c r="D142" s="130"/>
      <c r="E142" s="130"/>
      <c r="F142" s="130"/>
      <c r="G142" s="130"/>
      <c r="H142" s="130"/>
      <c r="I142" s="131"/>
    </row>
    <row r="143" spans="1:9" ht="15">
      <c r="A143" s="127"/>
      <c r="B143" s="128"/>
      <c r="C143" s="77">
        <v>2020</v>
      </c>
      <c r="D143" s="77">
        <v>2021</v>
      </c>
      <c r="E143" s="77">
        <v>2022</v>
      </c>
      <c r="F143" s="77">
        <v>2023</v>
      </c>
      <c r="G143" s="77">
        <v>2024</v>
      </c>
      <c r="H143" s="77">
        <v>2025</v>
      </c>
      <c r="I143" s="78"/>
    </row>
    <row r="144" spans="1:9" ht="30.75">
      <c r="A144" s="79" t="s">
        <v>100</v>
      </c>
      <c r="B144" s="79" t="s">
        <v>101</v>
      </c>
      <c r="C144" s="79"/>
      <c r="D144" s="79"/>
      <c r="E144" s="79"/>
      <c r="F144" s="79"/>
      <c r="G144" s="79"/>
      <c r="H144" s="79"/>
      <c r="I144" s="79"/>
    </row>
    <row r="145" spans="1:9" ht="46.5">
      <c r="A145" s="79" t="s">
        <v>102</v>
      </c>
      <c r="B145" s="79" t="s">
        <v>103</v>
      </c>
      <c r="C145" s="79"/>
      <c r="D145" s="79"/>
      <c r="E145" s="79"/>
      <c r="F145" s="79"/>
      <c r="G145" s="79"/>
      <c r="H145" s="79"/>
      <c r="I145" s="79"/>
    </row>
  </sheetData>
  <sheetProtection/>
  <mergeCells count="11">
    <mergeCell ref="A5:E5"/>
    <mergeCell ref="A15:E15"/>
    <mergeCell ref="A35:D35"/>
    <mergeCell ref="A60:D60"/>
    <mergeCell ref="A142:A143"/>
    <mergeCell ref="B142:B143"/>
    <mergeCell ref="C142:I142"/>
    <mergeCell ref="A141:I141"/>
    <mergeCell ref="A79:D79"/>
    <mergeCell ref="A95:D95"/>
    <mergeCell ref="A115:D11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2" r:id="rId4"/>
  <headerFooter>
    <oddFooter>&amp;CСтраница  &amp;P из &amp;N</oddFooter>
  </headerFooter>
  <tableParts>
    <tablePart r:id="rId3"/>
    <tablePart r:id="rId2"/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4:G28"/>
  <sheetViews>
    <sheetView zoomScale="85" zoomScaleNormal="85" zoomScaleSheetLayoutView="100" zoomScalePageLayoutView="0" workbookViewId="0" topLeftCell="A1">
      <selection activeCell="A1" sqref="A1:E24"/>
    </sheetView>
  </sheetViews>
  <sheetFormatPr defaultColWidth="9.140625" defaultRowHeight="15"/>
  <cols>
    <col min="1" max="1" width="63.00390625" style="23" customWidth="1"/>
    <col min="2" max="2" width="21.00390625" style="21" customWidth="1"/>
    <col min="3" max="3" width="22.140625" style="21" customWidth="1"/>
    <col min="4" max="4" width="22.7109375" style="21" customWidth="1"/>
    <col min="5" max="5" width="33.8515625" style="21" customWidth="1"/>
    <col min="6" max="6" width="17.7109375" style="27" bestFit="1" customWidth="1"/>
    <col min="7" max="7" width="14.00390625" style="27" bestFit="1" customWidth="1"/>
    <col min="8" max="8" width="12.28125" style="27" bestFit="1" customWidth="1"/>
    <col min="9" max="9" width="9.140625" style="27" customWidth="1"/>
    <col min="10" max="10" width="10.00390625" style="27" bestFit="1" customWidth="1"/>
    <col min="11" max="16384" width="9.140625" style="21" customWidth="1"/>
  </cols>
  <sheetData>
    <row r="4" spans="6:7" ht="13.5">
      <c r="F4" s="28"/>
      <c r="G4" s="29"/>
    </row>
    <row r="5" spans="6:7" ht="13.5">
      <c r="F5" s="28"/>
      <c r="G5" s="29"/>
    </row>
    <row r="6" spans="6:7" ht="13.5">
      <c r="F6" s="28"/>
      <c r="G6" s="29"/>
    </row>
    <row r="7" spans="6:7" ht="13.5">
      <c r="F7" s="28"/>
      <c r="G7" s="29"/>
    </row>
    <row r="8" spans="6:7" ht="13.5">
      <c r="F8" s="28"/>
      <c r="G8" s="29"/>
    </row>
    <row r="9" spans="6:7" ht="13.5">
      <c r="F9" s="28"/>
      <c r="G9" s="29"/>
    </row>
    <row r="10" spans="6:7" ht="13.5">
      <c r="F10" s="28"/>
      <c r="G10" s="29"/>
    </row>
    <row r="11" spans="6:7" ht="13.5">
      <c r="F11" s="28"/>
      <c r="G11" s="29">
        <f>SUM('2020'!F41:F45)+SUM('2020'!C47:C48)</f>
        <v>11027.244897</v>
      </c>
    </row>
    <row r="12" spans="6:7" ht="13.5">
      <c r="F12" s="28"/>
      <c r="G12" s="30"/>
    </row>
    <row r="13" spans="6:7" ht="13.5">
      <c r="F13" s="28"/>
      <c r="G13" s="30">
        <f>SUM('2020'!D47:D48)</f>
        <v>24225.654208</v>
      </c>
    </row>
    <row r="14" spans="6:7" ht="13.5">
      <c r="F14" s="28"/>
      <c r="G14" s="31"/>
    </row>
    <row r="15" spans="6:7" ht="13.5">
      <c r="F15" s="28"/>
      <c r="G15" s="31"/>
    </row>
    <row r="16" spans="6:7" ht="13.5">
      <c r="F16" s="28"/>
      <c r="G16" s="31">
        <f>SUM('2020'!F50:F54)</f>
        <v>14592.430939999998</v>
      </c>
    </row>
    <row r="17" spans="6:7" ht="13.5">
      <c r="F17" s="28"/>
      <c r="G17" s="31"/>
    </row>
    <row r="18" spans="6:7" ht="13.5">
      <c r="F18" s="28"/>
      <c r="G18" s="31"/>
    </row>
    <row r="19" ht="13.5">
      <c r="F19" s="28"/>
    </row>
    <row r="20" ht="13.5">
      <c r="F20" s="28"/>
    </row>
    <row r="21" ht="13.5">
      <c r="F21" s="28"/>
    </row>
    <row r="22" ht="13.5">
      <c r="F22" s="28"/>
    </row>
    <row r="23" spans="6:7" ht="13.5">
      <c r="F23" s="28"/>
      <c r="G23" s="27">
        <f>SUM('2020'!F57:F58)</f>
        <v>35590.39899</v>
      </c>
    </row>
    <row r="25" spans="4:6" ht="13.5">
      <c r="D25" s="22"/>
      <c r="E25" s="22">
        <v>102106.5643</v>
      </c>
      <c r="F25" s="27">
        <f>SUM('2020'!$F$37:$F$58)</f>
        <v>195413.74167177998</v>
      </c>
    </row>
    <row r="26" spans="5:6" ht="13.5">
      <c r="E26" s="21">
        <f>'2020'!$F$59-E25</f>
        <v>510.0057000000088</v>
      </c>
      <c r="F26" s="27">
        <v>100758.41009</v>
      </c>
    </row>
    <row r="28" ht="13.5">
      <c r="A28" s="24"/>
    </row>
  </sheetData>
  <sheetProtection/>
  <printOptions/>
  <pageMargins left="0.7" right="0.7" top="0.75" bottom="0.75" header="0.3" footer="0.3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9"/>
  <sheetViews>
    <sheetView tabSelected="1" view="pageBreakPreview" zoomScaleSheetLayoutView="100" zoomScalePageLayoutView="0" workbookViewId="0" topLeftCell="A1">
      <selection activeCell="A4" sqref="A4"/>
    </sheetView>
  </sheetViews>
  <sheetFormatPr defaultColWidth="31.00390625" defaultRowHeight="15"/>
  <cols>
    <col min="1" max="1" width="62.7109375" style="6" customWidth="1"/>
    <col min="2" max="2" width="20.57421875" style="46" customWidth="1"/>
    <col min="3" max="3" width="19.421875" style="41" customWidth="1"/>
    <col min="4" max="4" width="22.140625" style="41" customWidth="1"/>
    <col min="5" max="5" width="23.8515625" style="41" customWidth="1"/>
    <col min="6" max="6" width="12.00390625" style="0" customWidth="1"/>
    <col min="7" max="7" width="14.8515625" style="0" customWidth="1"/>
    <col min="8" max="9" width="14.8515625" style="11" customWidth="1"/>
    <col min="10" max="12" width="14.8515625" style="0" customWidth="1"/>
  </cols>
  <sheetData>
    <row r="1" spans="1:5" ht="14.25">
      <c r="A1" s="1"/>
      <c r="B1" s="37"/>
      <c r="C1" s="2"/>
      <c r="D1" s="81"/>
      <c r="E1" s="4" t="s">
        <v>41</v>
      </c>
    </row>
    <row r="2" spans="1:5" ht="14.25">
      <c r="A2" s="1"/>
      <c r="B2" s="37"/>
      <c r="C2" s="2"/>
      <c r="D2" s="81"/>
      <c r="E2" s="4" t="s">
        <v>42</v>
      </c>
    </row>
    <row r="3" spans="1:5" ht="14.25">
      <c r="A3" s="1"/>
      <c r="B3" s="37"/>
      <c r="C3" s="2"/>
      <c r="D3" s="81"/>
      <c r="E3" s="4" t="s">
        <v>43</v>
      </c>
    </row>
    <row r="4" spans="1:5" ht="14.25">
      <c r="A4" s="1"/>
      <c r="B4" s="37"/>
      <c r="C4" s="2"/>
      <c r="D4" s="81"/>
      <c r="E4" s="4" t="s">
        <v>120</v>
      </c>
    </row>
    <row r="5" spans="1:5" ht="80.25" customHeight="1">
      <c r="A5" s="120" t="s">
        <v>44</v>
      </c>
      <c r="B5" s="120"/>
      <c r="C5" s="120"/>
      <c r="D5" s="120"/>
      <c r="E5" s="120"/>
    </row>
    <row r="6" spans="1:5" ht="14.25">
      <c r="A6" s="5" t="s">
        <v>46</v>
      </c>
      <c r="B6" s="39"/>
      <c r="C6" s="40"/>
      <c r="D6" s="40"/>
      <c r="E6" s="42"/>
    </row>
    <row r="7" spans="1:5" ht="14.25">
      <c r="A7" s="18" t="s">
        <v>63</v>
      </c>
      <c r="B7" s="38" t="s">
        <v>2</v>
      </c>
      <c r="C7" s="15" t="s">
        <v>1</v>
      </c>
      <c r="D7" s="15" t="s">
        <v>3</v>
      </c>
      <c r="E7" s="19" t="s">
        <v>55</v>
      </c>
    </row>
    <row r="8" spans="1:12" ht="14.25">
      <c r="A8" s="16">
        <v>2020</v>
      </c>
      <c r="B8" s="3">
        <f>'2022'!$C$34</f>
        <v>27013.413510000002</v>
      </c>
      <c r="C8" s="3">
        <f>'2022'!$D$34</f>
        <v>81475.14749</v>
      </c>
      <c r="D8" s="3">
        <f>'2022'!$E$133</f>
        <v>0</v>
      </c>
      <c r="E8" s="43">
        <f>SUM('2022'!$B8:$D8)</f>
        <v>108488.561</v>
      </c>
      <c r="G8" s="11">
        <f>'2022'!$B8+B9+B10+B11+B12+B13</f>
        <v>133531.4888372908</v>
      </c>
      <c r="J8" s="34"/>
      <c r="K8" s="34"/>
      <c r="L8" s="34"/>
    </row>
    <row r="9" spans="1:12" ht="14.25" customHeight="1">
      <c r="A9" s="16">
        <v>2021</v>
      </c>
      <c r="B9" s="3">
        <v>29257.209208099997</v>
      </c>
      <c r="C9" s="3">
        <v>73359.36862146</v>
      </c>
      <c r="D9" s="3">
        <f>'2022'!$E$133</f>
        <v>0</v>
      </c>
      <c r="E9" s="43">
        <v>102616.57</v>
      </c>
      <c r="G9" s="11">
        <f>C8+'2022'!$C9+C10+C11+C12+C13</f>
        <v>483892.053763835</v>
      </c>
      <c r="J9" s="34"/>
      <c r="K9" s="34"/>
      <c r="L9" s="34"/>
    </row>
    <row r="10" spans="1:12" ht="14.25">
      <c r="A10" s="16">
        <v>2022</v>
      </c>
      <c r="B10" s="3">
        <f>'2022'!$C$78</f>
        <v>20221.533649190787</v>
      </c>
      <c r="C10" s="3">
        <f>'2022'!$D$78</f>
        <v>112689.99515237499</v>
      </c>
      <c r="D10" s="3">
        <f>'2022'!$E$133</f>
        <v>0</v>
      </c>
      <c r="E10" s="43">
        <f>SUM('2022'!$B10:$D10)</f>
        <v>132911.5288015658</v>
      </c>
      <c r="J10" s="34"/>
      <c r="K10" s="34"/>
      <c r="L10" s="34"/>
    </row>
    <row r="11" spans="1:12" ht="14.25">
      <c r="A11" s="16">
        <v>2023</v>
      </c>
      <c r="B11" s="3">
        <v>20254.04497</v>
      </c>
      <c r="C11" s="3">
        <v>92908.76999999999</v>
      </c>
      <c r="D11" s="3">
        <f>'2022'!$E$133</f>
        <v>0</v>
      </c>
      <c r="E11" s="43">
        <v>113162.82</v>
      </c>
      <c r="G11" s="11">
        <f>E8+E9+E10+'2022'!$E11+E12+E13</f>
        <v>617423.5398015658</v>
      </c>
      <c r="J11" s="36"/>
      <c r="K11" s="36"/>
      <c r="L11" s="36"/>
    </row>
    <row r="12" spans="1:12" ht="14.25">
      <c r="A12" s="16">
        <v>2024</v>
      </c>
      <c r="B12" s="3">
        <v>20035.2625</v>
      </c>
      <c r="C12" s="3">
        <v>92908.77249999999</v>
      </c>
      <c r="D12" s="3">
        <f>'2022'!$E$133</f>
        <v>0</v>
      </c>
      <c r="E12" s="43">
        <f>SUM('2022'!$B12:$D12)</f>
        <v>112944.03499999999</v>
      </c>
      <c r="J12" s="35"/>
      <c r="K12" s="35"/>
      <c r="L12" s="35"/>
    </row>
    <row r="13" spans="1:12" ht="14.25">
      <c r="A13" s="17">
        <v>2025</v>
      </c>
      <c r="B13" s="3">
        <f>'2022'!$C$133</f>
        <v>16750.025</v>
      </c>
      <c r="C13" s="3">
        <f>'2022'!$D$133</f>
        <v>30550</v>
      </c>
      <c r="D13" s="3">
        <f>'2022'!$E$133</f>
        <v>0</v>
      </c>
      <c r="E13" s="32">
        <f>SUM('2022'!$B13:$D13)</f>
        <v>47300.025</v>
      </c>
      <c r="J13" s="34"/>
      <c r="K13" s="34"/>
      <c r="L13" s="34"/>
    </row>
    <row r="14" spans="1:5" ht="14.25">
      <c r="A14" s="5"/>
      <c r="B14" s="39"/>
      <c r="C14" s="40"/>
      <c r="D14" s="40"/>
      <c r="E14" s="42"/>
    </row>
    <row r="15" spans="1:5" ht="22.5">
      <c r="A15" s="121" t="s">
        <v>47</v>
      </c>
      <c r="B15" s="122"/>
      <c r="C15" s="122"/>
      <c r="D15" s="122"/>
      <c r="E15" s="123"/>
    </row>
    <row r="16" spans="1:6" ht="14.25">
      <c r="A16" s="51"/>
      <c r="B16" s="48"/>
      <c r="C16" s="49" t="s">
        <v>45</v>
      </c>
      <c r="D16" s="47"/>
      <c r="E16" s="52"/>
      <c r="F16" s="53"/>
    </row>
    <row r="17" spans="1:6" ht="14.25">
      <c r="A17" s="54" t="s">
        <v>0</v>
      </c>
      <c r="B17" s="55" t="s">
        <v>63</v>
      </c>
      <c r="C17" s="56" t="s">
        <v>2</v>
      </c>
      <c r="D17" s="56" t="s">
        <v>1</v>
      </c>
      <c r="E17" s="56" t="s">
        <v>3</v>
      </c>
      <c r="F17" s="56" t="s">
        <v>55</v>
      </c>
    </row>
    <row r="18" spans="1:6" ht="27">
      <c r="A18" s="7" t="s">
        <v>4</v>
      </c>
      <c r="B18" s="57">
        <v>2020</v>
      </c>
      <c r="C18" s="8">
        <v>8577.6</v>
      </c>
      <c r="D18" s="8"/>
      <c r="E18" s="8"/>
      <c r="F18" s="8">
        <f>'2022'!$C18+'2022'!$D18+'2022'!$E18</f>
        <v>8577.6</v>
      </c>
    </row>
    <row r="19" spans="1:6" ht="54.75">
      <c r="A19" s="9" t="s">
        <v>5</v>
      </c>
      <c r="B19" s="57">
        <v>2020</v>
      </c>
      <c r="C19" s="3">
        <v>459.15151</v>
      </c>
      <c r="D19" s="3"/>
      <c r="E19" s="3"/>
      <c r="F19" s="8">
        <f>'2022'!$C19+'2022'!$D19+'2022'!$E19</f>
        <v>459.15151</v>
      </c>
    </row>
    <row r="20" spans="1:6" ht="27">
      <c r="A20" s="7" t="s">
        <v>6</v>
      </c>
      <c r="B20" s="57">
        <v>2020</v>
      </c>
      <c r="C20" s="8">
        <v>369.253</v>
      </c>
      <c r="D20" s="8">
        <v>7015.81249</v>
      </c>
      <c r="E20" s="8"/>
      <c r="F20" s="8">
        <f>'2022'!$C20+'2022'!$D20+'2022'!$E20</f>
        <v>7385.06549</v>
      </c>
    </row>
    <row r="21" spans="1:6" ht="27">
      <c r="A21" s="9" t="s">
        <v>7</v>
      </c>
      <c r="B21" s="57">
        <v>2020</v>
      </c>
      <c r="C21" s="3">
        <v>692.255</v>
      </c>
      <c r="D21" s="3">
        <v>13152.85</v>
      </c>
      <c r="E21" s="3"/>
      <c r="F21" s="8">
        <f>'2022'!$C21+'2022'!$D21+'2022'!$E21</f>
        <v>13845.105</v>
      </c>
    </row>
    <row r="22" spans="1:6" ht="27">
      <c r="A22" s="7" t="s">
        <v>8</v>
      </c>
      <c r="B22" s="57">
        <v>2020</v>
      </c>
      <c r="C22" s="8">
        <v>599.405</v>
      </c>
      <c r="D22" s="8"/>
      <c r="E22" s="8"/>
      <c r="F22" s="8">
        <f>'2022'!$C22+'2022'!$D22+'2022'!$E22</f>
        <v>599.405</v>
      </c>
    </row>
    <row r="23" spans="1:6" ht="14.25">
      <c r="A23" s="9" t="s">
        <v>17</v>
      </c>
      <c r="B23" s="57">
        <v>2020</v>
      </c>
      <c r="C23" s="3">
        <v>599.99</v>
      </c>
      <c r="D23" s="3"/>
      <c r="E23" s="3"/>
      <c r="F23" s="8">
        <f>'2022'!$C23+'2022'!$D23+'2022'!$E23</f>
        <v>599.99</v>
      </c>
    </row>
    <row r="24" spans="1:6" ht="14.25">
      <c r="A24" s="7" t="s">
        <v>17</v>
      </c>
      <c r="B24" s="57">
        <v>2020</v>
      </c>
      <c r="C24" s="8">
        <v>471.789</v>
      </c>
      <c r="D24" s="8"/>
      <c r="E24" s="8"/>
      <c r="F24" s="8">
        <f>'2022'!$C24+'2022'!$D24+'2022'!$E24</f>
        <v>471.789</v>
      </c>
    </row>
    <row r="25" spans="1:6" ht="27">
      <c r="A25" s="9" t="s">
        <v>9</v>
      </c>
      <c r="B25" s="57">
        <v>2020</v>
      </c>
      <c r="C25" s="3">
        <v>2.423</v>
      </c>
      <c r="D25" s="3">
        <v>2420.967</v>
      </c>
      <c r="E25" s="3"/>
      <c r="F25" s="8">
        <f>'2022'!$C25+'2022'!$D25+'2022'!$E25</f>
        <v>2423.39</v>
      </c>
    </row>
    <row r="26" spans="1:6" ht="27">
      <c r="A26" s="7" t="s">
        <v>10</v>
      </c>
      <c r="B26" s="57">
        <v>2020</v>
      </c>
      <c r="C26" s="8">
        <v>31.129</v>
      </c>
      <c r="D26" s="8">
        <v>31098.331</v>
      </c>
      <c r="E26" s="8"/>
      <c r="F26" s="8">
        <f>'2022'!$C26+'2022'!$D26+'2022'!$E26</f>
        <v>31129.46</v>
      </c>
    </row>
    <row r="27" spans="1:6" ht="27">
      <c r="A27" s="9" t="s">
        <v>11</v>
      </c>
      <c r="B27" s="57">
        <v>2020</v>
      </c>
      <c r="C27" s="3">
        <v>11.779</v>
      </c>
      <c r="D27" s="3">
        <v>11766.829</v>
      </c>
      <c r="E27" s="3"/>
      <c r="F27" s="8">
        <f>'2022'!$C27+'2022'!$D27+'2022'!$E27</f>
        <v>11778.608</v>
      </c>
    </row>
    <row r="28" spans="1:6" ht="41.25">
      <c r="A28" s="7" t="s">
        <v>12</v>
      </c>
      <c r="B28" s="57">
        <v>2020</v>
      </c>
      <c r="C28" s="8">
        <v>400</v>
      </c>
      <c r="D28" s="8">
        <v>9600</v>
      </c>
      <c r="E28" s="8"/>
      <c r="F28" s="8">
        <f>'2022'!$C28+'2022'!$D28+'2022'!$E28</f>
        <v>10000</v>
      </c>
    </row>
    <row r="29" spans="1:6" ht="27">
      <c r="A29" s="9" t="s">
        <v>13</v>
      </c>
      <c r="B29" s="57">
        <v>2020</v>
      </c>
      <c r="C29" s="3">
        <v>229.452</v>
      </c>
      <c r="D29" s="3">
        <v>4359.585</v>
      </c>
      <c r="E29" s="3"/>
      <c r="F29" s="8">
        <f>'2022'!$C29+'2022'!$D29+'2022'!$E29</f>
        <v>4589.037</v>
      </c>
    </row>
    <row r="30" spans="1:6" ht="41.25">
      <c r="A30" s="7" t="s">
        <v>14</v>
      </c>
      <c r="B30" s="57">
        <v>2020</v>
      </c>
      <c r="C30" s="8">
        <v>108.461</v>
      </c>
      <c r="D30" s="8">
        <v>2060.773</v>
      </c>
      <c r="E30" s="8"/>
      <c r="F30" s="8">
        <f>'2022'!$C30+'2022'!$D30+'2022'!$E30</f>
        <v>2169.234</v>
      </c>
    </row>
    <row r="31" spans="1:6" ht="14.25">
      <c r="A31" s="9" t="s">
        <v>15</v>
      </c>
      <c r="B31" s="57">
        <v>2020</v>
      </c>
      <c r="C31" s="3">
        <v>144.626</v>
      </c>
      <c r="D31" s="3"/>
      <c r="E31" s="3"/>
      <c r="F31" s="8">
        <f>'2022'!$C31+'2022'!$D31+'2022'!$E31</f>
        <v>144.626</v>
      </c>
    </row>
    <row r="32" spans="1:6" ht="14.25">
      <c r="A32" s="7" t="s">
        <v>16</v>
      </c>
      <c r="B32" s="57">
        <v>2020</v>
      </c>
      <c r="C32" s="8">
        <v>302</v>
      </c>
      <c r="D32" s="8"/>
      <c r="E32" s="8"/>
      <c r="F32" s="8">
        <f>'2022'!$C32+'2022'!$D32+'2022'!$E32</f>
        <v>302</v>
      </c>
    </row>
    <row r="33" spans="1:6" ht="14.25">
      <c r="A33" s="7" t="s">
        <v>54</v>
      </c>
      <c r="B33" s="57">
        <v>2020</v>
      </c>
      <c r="C33" s="8">
        <v>14014.1</v>
      </c>
      <c r="D33" s="8"/>
      <c r="E33" s="8"/>
      <c r="F33" s="8">
        <f>'2022'!$C33+'2022'!$D33+'2022'!$E33</f>
        <v>14014.1</v>
      </c>
    </row>
    <row r="34" spans="1:6" ht="14.25">
      <c r="A34" s="58" t="s">
        <v>53</v>
      </c>
      <c r="B34" s="57"/>
      <c r="C34" s="8">
        <f>SUBTOTAL(109,C18:C33)</f>
        <v>27013.413510000002</v>
      </c>
      <c r="D34" s="8">
        <f>SUBTOTAL(109,D18:D33)</f>
        <v>81475.14749</v>
      </c>
      <c r="E34" s="8">
        <f>SUBTOTAL(109,E18:E33)</f>
        <v>0</v>
      </c>
      <c r="F34" s="8">
        <f>SUBTOTAL(109,F18:F33)</f>
        <v>108488.561</v>
      </c>
    </row>
    <row r="35" spans="1:6" ht="22.5">
      <c r="A35" s="124" t="s">
        <v>48</v>
      </c>
      <c r="B35" s="125"/>
      <c r="C35" s="125"/>
      <c r="D35" s="125"/>
      <c r="E35" s="3"/>
      <c r="F35" s="59"/>
    </row>
    <row r="36" spans="1:8" ht="14.25">
      <c r="A36" s="60" t="s">
        <v>0</v>
      </c>
      <c r="B36" s="61" t="s">
        <v>63</v>
      </c>
      <c r="C36" s="62" t="s">
        <v>2</v>
      </c>
      <c r="D36" s="62" t="s">
        <v>1</v>
      </c>
      <c r="E36" s="62" t="s">
        <v>3</v>
      </c>
      <c r="F36" s="62" t="s">
        <v>55</v>
      </c>
      <c r="G36" s="83" t="s">
        <v>106</v>
      </c>
      <c r="H36" s="83" t="s">
        <v>109</v>
      </c>
    </row>
    <row r="37" spans="1:9" s="90" customFormat="1" ht="14.25">
      <c r="A37" s="94" t="s">
        <v>54</v>
      </c>
      <c r="B37" s="95" t="s">
        <v>70</v>
      </c>
      <c r="C37" s="96">
        <v>14857.17916</v>
      </c>
      <c r="D37" s="96"/>
      <c r="E37" s="96"/>
      <c r="F37" s="96">
        <v>14857.17916</v>
      </c>
      <c r="G37" s="88"/>
      <c r="H37" s="88"/>
      <c r="I37" s="89"/>
    </row>
    <row r="38" spans="1:10" s="90" customFormat="1" ht="14.25">
      <c r="A38" s="94" t="s">
        <v>107</v>
      </c>
      <c r="B38" s="95" t="s">
        <v>70</v>
      </c>
      <c r="C38" s="96">
        <f>C39+C40+C41+C42+C43+C44+C45</f>
        <v>11948.396805</v>
      </c>
      <c r="D38" s="96"/>
      <c r="E38" s="96"/>
      <c r="F38" s="96">
        <f>F39+F40+F41+F42+F43+F44+F45</f>
        <v>11948.396805</v>
      </c>
      <c r="G38" s="88"/>
      <c r="H38" s="88"/>
      <c r="I38" s="89"/>
      <c r="J38" s="90">
        <f>11948.4-11948.5</f>
        <v>-0.1000000000003638</v>
      </c>
    </row>
    <row r="39" spans="1:9" s="90" customFormat="1" ht="14.25">
      <c r="A39" s="84" t="s">
        <v>87</v>
      </c>
      <c r="B39" s="86" t="s">
        <v>70</v>
      </c>
      <c r="C39" s="87">
        <v>302</v>
      </c>
      <c r="D39" s="87"/>
      <c r="E39" s="87"/>
      <c r="F39" s="87">
        <f>SUM('2022'!$C39:$E39)</f>
        <v>302</v>
      </c>
      <c r="G39" s="88"/>
      <c r="H39" s="88"/>
      <c r="I39" s="89"/>
    </row>
    <row r="40" spans="1:9" s="90" customFormat="1" ht="14.25">
      <c r="A40" s="85" t="s">
        <v>17</v>
      </c>
      <c r="B40" s="86" t="s">
        <v>70</v>
      </c>
      <c r="C40" s="87">
        <f>1626.3-0.1</f>
        <v>1626.2</v>
      </c>
      <c r="D40" s="87"/>
      <c r="E40" s="87"/>
      <c r="F40" s="87">
        <f>'2022'!$C40</f>
        <v>1626.2</v>
      </c>
      <c r="G40" s="88"/>
      <c r="H40" s="88"/>
      <c r="I40" s="89"/>
    </row>
    <row r="41" spans="1:9" s="90" customFormat="1" ht="14.25">
      <c r="A41" s="84" t="s">
        <v>65</v>
      </c>
      <c r="B41" s="86" t="s">
        <v>70</v>
      </c>
      <c r="C41" s="87">
        <v>439.9602</v>
      </c>
      <c r="D41" s="87"/>
      <c r="E41" s="87"/>
      <c r="F41" s="87">
        <f>SUM('2022'!$C41:$E41)</f>
        <v>439.9602</v>
      </c>
      <c r="G41" s="88"/>
      <c r="H41" s="88"/>
      <c r="I41" s="89"/>
    </row>
    <row r="42" spans="1:9" s="90" customFormat="1" ht="14.25">
      <c r="A42" s="84" t="s">
        <v>66</v>
      </c>
      <c r="B42" s="86" t="s">
        <v>70</v>
      </c>
      <c r="C42" s="87">
        <v>945.51774</v>
      </c>
      <c r="D42" s="87"/>
      <c r="E42" s="87"/>
      <c r="F42" s="87">
        <f>SUM('2022'!$C42:$E42)</f>
        <v>945.51774</v>
      </c>
      <c r="G42" s="88"/>
      <c r="H42" s="88"/>
      <c r="I42" s="89"/>
    </row>
    <row r="43" spans="1:9" s="90" customFormat="1" ht="27.75">
      <c r="A43" s="84" t="s">
        <v>67</v>
      </c>
      <c r="B43" s="86" t="s">
        <v>70</v>
      </c>
      <c r="C43" s="87">
        <v>8028.848465</v>
      </c>
      <c r="D43" s="87"/>
      <c r="E43" s="87"/>
      <c r="F43" s="87">
        <f>SUM('2022'!$C43:$E43)</f>
        <v>8028.848465</v>
      </c>
      <c r="G43" s="88"/>
      <c r="H43" s="88"/>
      <c r="I43" s="89"/>
    </row>
    <row r="44" spans="1:9" s="90" customFormat="1" ht="14.25">
      <c r="A44" s="84" t="s">
        <v>18</v>
      </c>
      <c r="B44" s="86" t="s">
        <v>70</v>
      </c>
      <c r="C44" s="87">
        <v>40</v>
      </c>
      <c r="D44" s="87"/>
      <c r="E44" s="87"/>
      <c r="F44" s="87">
        <f>SUM('2022'!$C44:$E44)</f>
        <v>40</v>
      </c>
      <c r="G44" s="88"/>
      <c r="H44" s="88"/>
      <c r="I44" s="89"/>
    </row>
    <row r="45" spans="1:9" s="90" customFormat="1" ht="14.25">
      <c r="A45" s="84" t="s">
        <v>60</v>
      </c>
      <c r="B45" s="86" t="s">
        <v>70</v>
      </c>
      <c r="C45" s="87">
        <v>565.8704</v>
      </c>
      <c r="D45" s="87"/>
      <c r="E45" s="87"/>
      <c r="F45" s="87">
        <f>SUM('2022'!$C45:$E45)</f>
        <v>565.8704</v>
      </c>
      <c r="G45" s="88"/>
      <c r="H45" s="88"/>
      <c r="I45" s="89"/>
    </row>
    <row r="46" spans="1:9" s="90" customFormat="1" ht="27">
      <c r="A46" s="94" t="s">
        <v>108</v>
      </c>
      <c r="B46" s="95" t="s">
        <v>70</v>
      </c>
      <c r="C46" s="96">
        <f>C47+C48</f>
        <v>1007.048092</v>
      </c>
      <c r="D46" s="96">
        <f>D47+D48</f>
        <v>24225.654208</v>
      </c>
      <c r="E46" s="96"/>
      <c r="F46" s="96">
        <f>SUM('2022'!$C46:$E46)</f>
        <v>25232.7023</v>
      </c>
      <c r="G46" s="88"/>
      <c r="H46" s="88"/>
      <c r="I46" s="89"/>
    </row>
    <row r="47" spans="1:9" s="90" customFormat="1" ht="27.75">
      <c r="A47" s="84" t="s">
        <v>88</v>
      </c>
      <c r="B47" s="86" t="s">
        <v>70</v>
      </c>
      <c r="C47" s="87">
        <v>629.6570992000001</v>
      </c>
      <c r="D47" s="87">
        <f>15111.7703808+56.5</f>
        <v>15168.2703808</v>
      </c>
      <c r="E47" s="87"/>
      <c r="F47" s="99">
        <f>SUM('2022'!$C47:$E47)</f>
        <v>15797.92748</v>
      </c>
      <c r="G47" s="88"/>
      <c r="H47" s="88">
        <f>F46-25232.7</f>
        <v>0.002300000000104774</v>
      </c>
      <c r="I47" s="89"/>
    </row>
    <row r="48" spans="1:9" s="90" customFormat="1" ht="27.75">
      <c r="A48" s="84" t="s">
        <v>89</v>
      </c>
      <c r="B48" s="86" t="s">
        <v>70</v>
      </c>
      <c r="C48" s="87">
        <v>377.3909928</v>
      </c>
      <c r="D48" s="87">
        <v>9057.3838272</v>
      </c>
      <c r="E48" s="87"/>
      <c r="F48" s="87">
        <f>SUM('2022'!$C48:$E48)</f>
        <v>9434.774819999999</v>
      </c>
      <c r="G48" s="88"/>
      <c r="H48" s="88"/>
      <c r="I48" s="89"/>
    </row>
    <row r="49" spans="1:9" s="90" customFormat="1" ht="27">
      <c r="A49" s="94" t="s">
        <v>91</v>
      </c>
      <c r="B49" s="95" t="s">
        <v>70</v>
      </c>
      <c r="C49" s="96">
        <f>C50+C51+C52+C53+C54+C55</f>
        <v>14.9878855</v>
      </c>
      <c r="D49" s="96">
        <f>D50+D51+D52+D53+D54+D55</f>
        <v>14972.912689060002</v>
      </c>
      <c r="E49" s="96"/>
      <c r="F49" s="96">
        <f>F50+F51+F52+F53+F54+F55</f>
        <v>14987.900574559999</v>
      </c>
      <c r="G49" s="88"/>
      <c r="H49" s="88"/>
      <c r="I49" s="89"/>
    </row>
    <row r="50" spans="1:11" s="90" customFormat="1" ht="14.25">
      <c r="A50" s="84" t="s">
        <v>59</v>
      </c>
      <c r="B50" s="86" t="s">
        <v>70</v>
      </c>
      <c r="C50" s="87">
        <v>1.31747616</v>
      </c>
      <c r="D50" s="87">
        <v>1316.15868384</v>
      </c>
      <c r="E50" s="87"/>
      <c r="F50" s="87">
        <f>SUM('2022'!$C50:$E50)</f>
        <v>1317.4761600000002</v>
      </c>
      <c r="G50" s="88"/>
      <c r="H50" s="88"/>
      <c r="I50" s="89"/>
      <c r="K50" s="89">
        <f>F49-114987.9</f>
        <v>-99999.99942544</v>
      </c>
    </row>
    <row r="51" spans="1:9" s="90" customFormat="1" ht="14.25">
      <c r="A51" s="84" t="s">
        <v>58</v>
      </c>
      <c r="B51" s="86" t="s">
        <v>70</v>
      </c>
      <c r="C51" s="87">
        <v>2.24775064</v>
      </c>
      <c r="D51" s="87">
        <f>2245.50288936-0.38</f>
        <v>2245.12288936</v>
      </c>
      <c r="E51" s="87"/>
      <c r="F51" s="87">
        <f>SUM('2022'!$C51:$E51)</f>
        <v>2247.37064</v>
      </c>
      <c r="G51" s="88"/>
      <c r="H51" s="88"/>
      <c r="I51" s="89"/>
    </row>
    <row r="52" spans="1:9" s="90" customFormat="1" ht="14.25">
      <c r="A52" s="84" t="s">
        <v>57</v>
      </c>
      <c r="B52" s="86" t="s">
        <v>70</v>
      </c>
      <c r="C52" s="87">
        <v>10.233409400000001</v>
      </c>
      <c r="D52" s="87">
        <v>10223.1759906</v>
      </c>
      <c r="E52" s="87"/>
      <c r="F52" s="87">
        <f>SUM('2022'!$C52:$E52)</f>
        <v>10233.4094</v>
      </c>
      <c r="G52" s="88"/>
      <c r="H52" s="88"/>
      <c r="I52" s="89"/>
    </row>
    <row r="53" spans="1:9" s="90" customFormat="1" ht="14.25">
      <c r="A53" s="84" t="s">
        <v>69</v>
      </c>
      <c r="B53" s="86" t="s">
        <v>70</v>
      </c>
      <c r="C53" s="87">
        <v>0.31608881</v>
      </c>
      <c r="D53" s="87">
        <v>315.77272119</v>
      </c>
      <c r="E53" s="87"/>
      <c r="F53" s="87">
        <f>SUM('2022'!$C53:$D53)</f>
        <v>316.08881</v>
      </c>
      <c r="G53" s="88"/>
      <c r="H53" s="88"/>
      <c r="I53" s="89"/>
    </row>
    <row r="54" spans="1:11" s="90" customFormat="1" ht="25.5" customHeight="1">
      <c r="A54" s="84" t="s">
        <v>90</v>
      </c>
      <c r="B54" s="86" t="s">
        <v>70</v>
      </c>
      <c r="C54" s="87">
        <v>0.47808593</v>
      </c>
      <c r="D54" s="87">
        <v>477.60784407</v>
      </c>
      <c r="E54" s="87"/>
      <c r="F54" s="87">
        <f>SUM('2022'!$C54:$E54)</f>
        <v>478.08593</v>
      </c>
      <c r="G54" s="88"/>
      <c r="H54" s="88"/>
      <c r="I54" s="89">
        <f>D55+C55</f>
        <v>395.46963456000003</v>
      </c>
      <c r="K54" s="89">
        <f>F49-14987.9</f>
        <v>0.0005745599992224015</v>
      </c>
    </row>
    <row r="55" spans="1:9" s="90" customFormat="1" ht="27.75">
      <c r="A55" s="84" t="s">
        <v>91</v>
      </c>
      <c r="B55" s="86" t="s">
        <v>70</v>
      </c>
      <c r="C55" s="87">
        <f>'2022'!$D55*0.1%</f>
        <v>0.39507456</v>
      </c>
      <c r="D55" s="87">
        <v>395.07456</v>
      </c>
      <c r="E55" s="87"/>
      <c r="F55" s="87">
        <f>SUM('2022'!$C55:$E55)</f>
        <v>395.46963456000003</v>
      </c>
      <c r="G55" s="88">
        <f>'2022'!$C55+'2022'!$D55</f>
        <v>395.46963456000003</v>
      </c>
      <c r="H55" s="88"/>
      <c r="I55" s="89"/>
    </row>
    <row r="56" spans="1:9" s="98" customFormat="1" ht="14.25">
      <c r="A56" s="91" t="s">
        <v>61</v>
      </c>
      <c r="B56" s="92" t="s">
        <v>70</v>
      </c>
      <c r="C56" s="93">
        <f>C57+C58</f>
        <v>1429.5972655999974</v>
      </c>
      <c r="D56" s="93">
        <f>+D46+D49</f>
        <v>39198.56689706</v>
      </c>
      <c r="E56" s="93"/>
      <c r="F56" s="96">
        <f>SUM('2022'!$C56:$E56)</f>
        <v>40628.164162659996</v>
      </c>
      <c r="G56" s="88"/>
      <c r="H56" s="88"/>
      <c r="I56" s="97"/>
    </row>
    <row r="57" spans="1:9" s="98" customFormat="1" ht="14.25">
      <c r="A57" s="25" t="s">
        <v>56</v>
      </c>
      <c r="B57" s="86" t="s">
        <v>70</v>
      </c>
      <c r="C57" s="87">
        <v>352.4099856</v>
      </c>
      <c r="D57" s="87">
        <f>8457.8396544+6.13-0.0001</f>
        <v>8463.9695544</v>
      </c>
      <c r="E57" s="87"/>
      <c r="F57" s="13">
        <f>SUM('2022'!$C57:$E57)</f>
        <v>8816.37954</v>
      </c>
      <c r="G57" s="88"/>
      <c r="H57" s="88"/>
      <c r="I57" s="97"/>
    </row>
    <row r="58" spans="1:9" s="98" customFormat="1" ht="42">
      <c r="A58" s="25" t="s">
        <v>68</v>
      </c>
      <c r="B58" s="86" t="s">
        <v>70</v>
      </c>
      <c r="C58" s="87">
        <v>1077.1872799999974</v>
      </c>
      <c r="D58" s="87">
        <v>25696.83217</v>
      </c>
      <c r="E58" s="87"/>
      <c r="F58" s="13">
        <f>SUM('2022'!$C58:$E58)</f>
        <v>26774.01945</v>
      </c>
      <c r="G58" s="88"/>
      <c r="H58" s="88"/>
      <c r="I58" s="97">
        <f>F57+'2022'!$F58</f>
        <v>35590.39899</v>
      </c>
    </row>
    <row r="59" spans="1:9" ht="14.25">
      <c r="A59" s="64" t="s">
        <v>53</v>
      </c>
      <c r="B59" s="63"/>
      <c r="C59" s="12">
        <f>C57+C58+C49+C46+C38+C37</f>
        <v>29257.209208099997</v>
      </c>
      <c r="D59" s="12">
        <f>D57+D58+D49+D46+D38+D37</f>
        <v>73359.36862146</v>
      </c>
      <c r="E59" s="12">
        <f>SUBTOTAL(109,E37:E58)</f>
        <v>0</v>
      </c>
      <c r="F59" s="12" t="s">
        <v>110</v>
      </c>
      <c r="G59" s="82"/>
      <c r="H59" s="82"/>
      <c r="I59" s="11">
        <f>102</f>
        <v>102</v>
      </c>
    </row>
    <row r="60" spans="1:6" ht="20.25">
      <c r="A60" s="126" t="s">
        <v>49</v>
      </c>
      <c r="B60" s="126"/>
      <c r="C60" s="126"/>
      <c r="D60" s="126"/>
      <c r="E60" s="14"/>
      <c r="F60" s="59"/>
    </row>
    <row r="61" spans="1:12" ht="14.25">
      <c r="A61" s="65" t="s">
        <v>0</v>
      </c>
      <c r="B61" s="66" t="s">
        <v>63</v>
      </c>
      <c r="C61" s="67" t="s">
        <v>2</v>
      </c>
      <c r="D61" s="67" t="s">
        <v>1</v>
      </c>
      <c r="E61" s="67" t="s">
        <v>3</v>
      </c>
      <c r="F61" s="67" t="s">
        <v>55</v>
      </c>
      <c r="K61" s="11">
        <f>F58+F57</f>
        <v>35590.39899</v>
      </c>
      <c r="L61" s="11">
        <f>35590.4-K61</f>
        <v>0.0010099999999511056</v>
      </c>
    </row>
    <row r="62" spans="1:6" ht="14.25">
      <c r="A62" s="26" t="s">
        <v>75</v>
      </c>
      <c r="B62" s="68" t="s">
        <v>71</v>
      </c>
      <c r="C62" s="13">
        <v>600</v>
      </c>
      <c r="D62" s="13">
        <v>0</v>
      </c>
      <c r="E62" s="13"/>
      <c r="F62" s="13">
        <f>'2022'!$C62+'2022'!$D62+'2022'!$E62</f>
        <v>600</v>
      </c>
    </row>
    <row r="63" spans="1:6" ht="14.25">
      <c r="A63" s="26" t="s">
        <v>76</v>
      </c>
      <c r="B63" s="68" t="s">
        <v>71</v>
      </c>
      <c r="C63" s="13">
        <v>400</v>
      </c>
      <c r="D63" s="13">
        <v>0</v>
      </c>
      <c r="E63" s="13"/>
      <c r="F63" s="13">
        <f>'2022'!$C63+'2022'!$D63+'2022'!$E63</f>
        <v>400</v>
      </c>
    </row>
    <row r="64" spans="1:8" ht="14.25">
      <c r="A64" s="26" t="s">
        <v>77</v>
      </c>
      <c r="B64" s="68" t="s">
        <v>71</v>
      </c>
      <c r="C64" s="13">
        <v>1000</v>
      </c>
      <c r="D64" s="13">
        <v>0</v>
      </c>
      <c r="E64" s="13"/>
      <c r="F64" s="13">
        <f>'2022'!$C64+'2022'!$D64+'2022'!$E64</f>
        <v>1000</v>
      </c>
      <c r="H64" s="11">
        <v>102616.57782956</v>
      </c>
    </row>
    <row r="65" spans="1:6" ht="14.25">
      <c r="A65" s="26" t="s">
        <v>78</v>
      </c>
      <c r="B65" s="68" t="s">
        <v>71</v>
      </c>
      <c r="C65" s="13">
        <v>2000</v>
      </c>
      <c r="D65" s="13">
        <v>0</v>
      </c>
      <c r="E65" s="13"/>
      <c r="F65" s="13">
        <f>'2022'!$C65+'2022'!$D65+'2022'!$E65</f>
        <v>2000</v>
      </c>
    </row>
    <row r="66" spans="1:6" ht="14.25">
      <c r="A66" s="26" t="s">
        <v>92</v>
      </c>
      <c r="B66" s="68" t="s">
        <v>71</v>
      </c>
      <c r="C66" s="13">
        <v>1100</v>
      </c>
      <c r="D66" s="13">
        <v>0</v>
      </c>
      <c r="E66" s="13"/>
      <c r="F66" s="13">
        <f>'2022'!$C66+'2022'!$D66+'2022'!$E66</f>
        <v>1100</v>
      </c>
    </row>
    <row r="67" spans="1:6" ht="14.25">
      <c r="A67" s="26" t="s">
        <v>19</v>
      </c>
      <c r="B67" s="68" t="s">
        <v>71</v>
      </c>
      <c r="C67" s="13">
        <v>7976.6</v>
      </c>
      <c r="D67" s="13">
        <v>0</v>
      </c>
      <c r="E67" s="13"/>
      <c r="F67" s="13">
        <f>'2022'!$C67+'2022'!$D67+'2022'!$E67</f>
        <v>7976.6</v>
      </c>
    </row>
    <row r="68" spans="1:6" ht="14.25">
      <c r="A68" s="26" t="s">
        <v>79</v>
      </c>
      <c r="B68" s="68" t="s">
        <v>71</v>
      </c>
      <c r="C68" s="13">
        <f>1059.778149875+102.71</f>
        <v>1162.488149875</v>
      </c>
      <c r="D68" s="13">
        <v>0</v>
      </c>
      <c r="E68" s="13"/>
      <c r="F68" s="13">
        <f>'2022'!$C68+'2022'!$D68+'2022'!$E68</f>
        <v>1162.488149875</v>
      </c>
    </row>
    <row r="69" spans="1:6" ht="14.25">
      <c r="A69" s="69" t="s">
        <v>61</v>
      </c>
      <c r="B69" s="70"/>
      <c r="C69" s="10"/>
      <c r="D69" s="10"/>
      <c r="E69" s="10"/>
      <c r="F69" s="10"/>
    </row>
    <row r="70" spans="1:6" ht="27">
      <c r="A70" s="26" t="s">
        <v>64</v>
      </c>
      <c r="B70" s="68" t="s">
        <v>71</v>
      </c>
      <c r="C70" s="13">
        <v>1027.8624574999997</v>
      </c>
      <c r="D70" s="71">
        <v>28203.650150499998</v>
      </c>
      <c r="E70" s="13"/>
      <c r="F70" s="13">
        <f>SUM('2022'!$C70:$E70)</f>
        <v>29231.512607999997</v>
      </c>
    </row>
    <row r="71" spans="1:6" ht="30.75">
      <c r="A71" s="33" t="s">
        <v>80</v>
      </c>
      <c r="B71" s="68" t="s">
        <v>71</v>
      </c>
      <c r="C71" s="13">
        <v>1484.4026395</v>
      </c>
      <c r="D71" s="44">
        <v>10165.263472999999</v>
      </c>
      <c r="E71" s="13"/>
      <c r="F71" s="13">
        <f>SUM('2022'!$C71:$E71)</f>
        <v>11649.6661125</v>
      </c>
    </row>
    <row r="72" spans="1:6" ht="46.5">
      <c r="A72" s="117" t="s">
        <v>81</v>
      </c>
      <c r="B72" s="68" t="s">
        <v>71</v>
      </c>
      <c r="C72" s="13">
        <v>535.013867</v>
      </c>
      <c r="D72" s="44">
        <v>11263.031412999999</v>
      </c>
      <c r="E72" s="13"/>
      <c r="F72" s="13">
        <f>SUM('2022'!$C72:$E72)</f>
        <v>11798.045279999998</v>
      </c>
    </row>
    <row r="73" spans="1:6" ht="30.75">
      <c r="A73" s="33" t="s">
        <v>82</v>
      </c>
      <c r="B73" s="68" t="s">
        <v>71</v>
      </c>
      <c r="C73" s="13">
        <v>592.791127</v>
      </c>
      <c r="D73" s="44">
        <v>10109.826356000001</v>
      </c>
      <c r="E73" s="13"/>
      <c r="F73" s="13">
        <f>SUM('2022'!$C73:$E73)</f>
        <v>10702.617483000002</v>
      </c>
    </row>
    <row r="74" spans="1:8" ht="46.5">
      <c r="A74" s="118" t="s">
        <v>83</v>
      </c>
      <c r="B74" s="68" t="s">
        <v>71</v>
      </c>
      <c r="C74" s="13">
        <v>532.096124</v>
      </c>
      <c r="D74" s="45">
        <v>11473.946442</v>
      </c>
      <c r="E74" s="13"/>
      <c r="F74" s="13">
        <f>SUM('2022'!$C74:$E74)</f>
        <v>12006.042566</v>
      </c>
      <c r="H74" s="11">
        <v>16149.2665</v>
      </c>
    </row>
    <row r="75" spans="1:12" ht="46.5">
      <c r="A75" s="50" t="s">
        <v>84</v>
      </c>
      <c r="B75" s="68" t="s">
        <v>71</v>
      </c>
      <c r="C75" s="13">
        <v>603.8919179999999</v>
      </c>
      <c r="D75" s="44">
        <v>18552.917357874998</v>
      </c>
      <c r="E75" s="13"/>
      <c r="F75" s="13">
        <f>SUM('2022'!$C75:$E75)</f>
        <v>19156.809275875</v>
      </c>
      <c r="H75" s="11">
        <v>13302.202000000001</v>
      </c>
      <c r="L75">
        <v>16149.2665</v>
      </c>
    </row>
    <row r="76" spans="1:12" ht="30.75">
      <c r="A76" s="118" t="s">
        <v>86</v>
      </c>
      <c r="B76" s="68" t="s">
        <v>71</v>
      </c>
      <c r="C76" s="13">
        <v>439.17086631578945</v>
      </c>
      <c r="D76" s="44">
        <f>11272.13646-2927.89</f>
        <v>8344.24646</v>
      </c>
      <c r="E76" s="13"/>
      <c r="F76" s="13">
        <f>'2022'!$C76+'2022'!$D76+'2022'!$E76</f>
        <v>8783.41732631579</v>
      </c>
      <c r="H76" s="11">
        <v>16150</v>
      </c>
      <c r="L76">
        <v>13302.202000000001</v>
      </c>
    </row>
    <row r="77" spans="1:12" ht="30.75">
      <c r="A77" s="50" t="s">
        <v>85</v>
      </c>
      <c r="B77" s="68" t="s">
        <v>71</v>
      </c>
      <c r="C77" s="13">
        <v>767.2165</v>
      </c>
      <c r="D77" s="44">
        <v>14577.1135</v>
      </c>
      <c r="E77" s="13"/>
      <c r="F77" s="13">
        <f>'2022'!$C77+'2022'!$D77+'2022'!$E77</f>
        <v>15344.33</v>
      </c>
      <c r="H77" s="11">
        <v>8892</v>
      </c>
      <c r="L77">
        <v>16150</v>
      </c>
    </row>
    <row r="78" spans="1:12" ht="14.25">
      <c r="A78" s="72" t="s">
        <v>53</v>
      </c>
      <c r="B78" s="48"/>
      <c r="C78" s="13">
        <f>SUBTOTAL(109,C62:C77)</f>
        <v>20221.533649190787</v>
      </c>
      <c r="D78" s="13">
        <f>D70+D71+D72+D73+D74+D75+D76+D77</f>
        <v>112689.99515237499</v>
      </c>
      <c r="E78" s="13">
        <f>SUBTOTAL(109,E62:E77)</f>
        <v>0</v>
      </c>
      <c r="F78" s="3">
        <f>SUBTOTAL(109,F62:F77)</f>
        <v>132911.5288015658</v>
      </c>
      <c r="H78" s="11">
        <v>16150</v>
      </c>
      <c r="L78">
        <v>8892</v>
      </c>
    </row>
    <row r="79" spans="1:12" ht="21">
      <c r="A79" s="135" t="s">
        <v>50</v>
      </c>
      <c r="B79" s="136"/>
      <c r="C79" s="136"/>
      <c r="D79" s="136"/>
      <c r="E79" s="73"/>
      <c r="F79" s="59"/>
      <c r="H79" s="11">
        <v>16581.3</v>
      </c>
      <c r="L79">
        <v>16150</v>
      </c>
    </row>
    <row r="80" spans="1:12" ht="14.25">
      <c r="A80" s="74" t="s">
        <v>0</v>
      </c>
      <c r="B80" s="66" t="s">
        <v>63</v>
      </c>
      <c r="C80" s="67" t="s">
        <v>2</v>
      </c>
      <c r="D80" s="67" t="s">
        <v>1</v>
      </c>
      <c r="E80" s="67" t="s">
        <v>3</v>
      </c>
      <c r="F80" s="67" t="s">
        <v>55</v>
      </c>
      <c r="G80" s="105" t="s">
        <v>106</v>
      </c>
      <c r="H80" s="105" t="s">
        <v>119</v>
      </c>
      <c r="I80" s="105" t="s">
        <v>113</v>
      </c>
      <c r="J80" s="105" t="s">
        <v>118</v>
      </c>
      <c r="L80">
        <v>16581.3</v>
      </c>
    </row>
    <row r="81" spans="1:12" ht="14.25">
      <c r="A81" s="75" t="s">
        <v>87</v>
      </c>
      <c r="B81" s="68" t="s">
        <v>72</v>
      </c>
      <c r="C81" s="13">
        <v>600</v>
      </c>
      <c r="D81" s="67"/>
      <c r="E81" s="67"/>
      <c r="F81" s="13">
        <f>'2022'!$C81+'2022'!$D81+'2022'!$E81</f>
        <v>600</v>
      </c>
      <c r="G81" s="88">
        <f>'2022'!$F81*5%</f>
        <v>30</v>
      </c>
      <c r="H81" s="88">
        <f>'2022'!$C81+'2022'!$D81</f>
        <v>600</v>
      </c>
      <c r="I81" s="88"/>
      <c r="J81" s="88">
        <f aca="true" t="shared" si="0" ref="J81:J93">F82*5%</f>
        <v>20</v>
      </c>
      <c r="K81">
        <f>F87*5%</f>
        <v>849.9635000000001</v>
      </c>
      <c r="L81">
        <v>5684.0019999999995</v>
      </c>
    </row>
    <row r="82" spans="1:10" ht="14.25">
      <c r="A82" s="75" t="s">
        <v>76</v>
      </c>
      <c r="B82" s="68" t="s">
        <v>72</v>
      </c>
      <c r="C82" s="13">
        <v>400</v>
      </c>
      <c r="D82" s="67"/>
      <c r="E82" s="67"/>
      <c r="F82" s="13">
        <f>'2022'!$C82+'2022'!$D82+'2022'!$E82</f>
        <v>400</v>
      </c>
      <c r="G82" s="88"/>
      <c r="H82" s="88">
        <f>'2022'!$C82+'2022'!$D82</f>
        <v>400</v>
      </c>
      <c r="I82" s="88"/>
      <c r="J82" s="88">
        <f t="shared" si="0"/>
        <v>216.20867350000003</v>
      </c>
    </row>
    <row r="83" spans="1:10" ht="27">
      <c r="A83" s="75" t="s">
        <v>62</v>
      </c>
      <c r="B83" s="68" t="s">
        <v>72</v>
      </c>
      <c r="C83" s="13">
        <f>5046.72+619.66-343+0.779+0.01+0.74-1001.66-0.92553+1.85-0.79+0.79</f>
        <v>4324.173470000001</v>
      </c>
      <c r="D83" s="13"/>
      <c r="E83" s="13"/>
      <c r="F83" s="13">
        <f>'2022'!$C83+'2022'!$D83+'2022'!$E83</f>
        <v>4324.173470000001</v>
      </c>
      <c r="G83" s="88"/>
      <c r="H83" s="88">
        <f>'2022'!$C83+'2022'!$D83</f>
        <v>4324.173470000001</v>
      </c>
      <c r="I83" s="88"/>
      <c r="J83" s="88">
        <f t="shared" si="0"/>
        <v>398.83000000000004</v>
      </c>
    </row>
    <row r="84" spans="1:10" ht="14.25">
      <c r="A84" s="75" t="s">
        <v>19</v>
      </c>
      <c r="B84" s="68" t="s">
        <v>72</v>
      </c>
      <c r="C84" s="13">
        <v>7976.6</v>
      </c>
      <c r="D84" s="13"/>
      <c r="E84" s="13"/>
      <c r="F84" s="13">
        <f>'2022'!$C84+'2022'!$D84+'2022'!$E84</f>
        <v>7976.6</v>
      </c>
      <c r="G84" s="88"/>
      <c r="H84" s="88">
        <f>'2022'!$C84+'2022'!$D84</f>
        <v>7976.6</v>
      </c>
      <c r="I84" s="88"/>
      <c r="J84" s="88">
        <f t="shared" si="0"/>
        <v>103.20750000000001</v>
      </c>
    </row>
    <row r="85" spans="1:12" ht="14.25">
      <c r="A85" s="75" t="s">
        <v>79</v>
      </c>
      <c r="B85" s="68" t="s">
        <v>72</v>
      </c>
      <c r="C85" s="13">
        <f>2064.15</f>
        <v>2064.15</v>
      </c>
      <c r="D85" s="13"/>
      <c r="E85" s="13"/>
      <c r="F85" s="13">
        <f>'2022'!$C85+'2022'!$D85+'2022'!$E85</f>
        <v>2064.15</v>
      </c>
      <c r="G85" s="88"/>
      <c r="H85" s="88">
        <f>'2022'!$C85+'2022'!$D85</f>
        <v>2064.15</v>
      </c>
      <c r="I85" s="88"/>
      <c r="J85" s="88">
        <f t="shared" si="0"/>
        <v>0</v>
      </c>
      <c r="L85">
        <f>89-17</f>
        <v>72</v>
      </c>
    </row>
    <row r="86" spans="1:10" ht="14.25">
      <c r="A86" s="69" t="s">
        <v>61</v>
      </c>
      <c r="B86" s="70"/>
      <c r="C86" s="10"/>
      <c r="D86" s="10"/>
      <c r="E86" s="10"/>
      <c r="F86" s="10"/>
      <c r="G86" s="88"/>
      <c r="H86" s="88">
        <f>'2022'!$C86+'2022'!$D86</f>
        <v>0</v>
      </c>
      <c r="I86" s="88"/>
      <c r="J86" s="88">
        <f t="shared" si="0"/>
        <v>849.9635000000001</v>
      </c>
    </row>
    <row r="87" spans="1:11" ht="14.25">
      <c r="A87" s="115" t="s">
        <v>20</v>
      </c>
      <c r="B87" s="68" t="s">
        <v>72</v>
      </c>
      <c r="C87" s="13">
        <f>849.9635-0.7</f>
        <v>849.2634999999999</v>
      </c>
      <c r="D87" s="13">
        <v>16149.2665</v>
      </c>
      <c r="E87" s="13"/>
      <c r="F87" s="13">
        <f>17000-0.73</f>
        <v>16999.27</v>
      </c>
      <c r="G87" s="88">
        <f>'2022'!$C87+'2022'!$D87</f>
        <v>16998.53</v>
      </c>
      <c r="H87" s="88">
        <f>'2022'!$C87+'2022'!$D87</f>
        <v>16998.53</v>
      </c>
      <c r="I87" s="88"/>
      <c r="J87" s="88">
        <f t="shared" si="0"/>
        <v>700.0734000000001</v>
      </c>
      <c r="K87">
        <f>'2022'!$C87/'2022'!$F87</f>
        <v>0.04995882176116974</v>
      </c>
    </row>
    <row r="88" spans="1:10" ht="14.25">
      <c r="A88" s="116" t="s">
        <v>21</v>
      </c>
      <c r="B88" s="68" t="s">
        <v>72</v>
      </c>
      <c r="C88" s="13">
        <v>700</v>
      </c>
      <c r="D88" s="13">
        <v>13302.202000000001</v>
      </c>
      <c r="E88" s="13"/>
      <c r="F88" s="13">
        <v>14001.468</v>
      </c>
      <c r="G88" s="88">
        <f>'2022'!$C88+'2022'!$D88</f>
        <v>14002.202000000001</v>
      </c>
      <c r="H88" s="88">
        <f>'2022'!$C88+'2022'!$D88</f>
        <v>14002.202000000001</v>
      </c>
      <c r="I88" s="88"/>
      <c r="J88" s="88">
        <f t="shared" si="0"/>
        <v>850</v>
      </c>
    </row>
    <row r="89" spans="1:10" ht="14.25">
      <c r="A89" s="115" t="s">
        <v>93</v>
      </c>
      <c r="B89" s="68" t="s">
        <v>72</v>
      </c>
      <c r="C89" s="13">
        <v>850</v>
      </c>
      <c r="D89" s="13">
        <v>16150</v>
      </c>
      <c r="E89" s="13"/>
      <c r="F89" s="13">
        <v>17000</v>
      </c>
      <c r="G89" s="88">
        <f>'2022'!$C89+'2022'!$D89</f>
        <v>17000</v>
      </c>
      <c r="H89" s="88">
        <f>'2022'!$C89+'2022'!$D89</f>
        <v>17000</v>
      </c>
      <c r="I89" s="88"/>
      <c r="J89" s="88">
        <f t="shared" si="0"/>
        <v>468</v>
      </c>
    </row>
    <row r="90" spans="1:14" ht="14.25">
      <c r="A90" s="75" t="s">
        <v>111</v>
      </c>
      <c r="B90" s="68" t="s">
        <v>72</v>
      </c>
      <c r="C90" s="13">
        <v>468</v>
      </c>
      <c r="D90" s="13">
        <v>8892</v>
      </c>
      <c r="E90" s="13"/>
      <c r="F90" s="13">
        <v>9360</v>
      </c>
      <c r="G90" s="88">
        <f>'2022'!$C90+'2022'!$D90</f>
        <v>9360</v>
      </c>
      <c r="H90" s="88">
        <f>'2022'!$C90+'2022'!$D90</f>
        <v>9360</v>
      </c>
      <c r="I90" s="88"/>
      <c r="J90" s="88">
        <f t="shared" si="0"/>
        <v>850</v>
      </c>
      <c r="K90" s="11">
        <f>F87+F88+F89+'2022'!$F90+F91+F92+F93</f>
        <v>97797.898</v>
      </c>
      <c r="L90" s="11">
        <f>K90-97797.89</f>
        <v>0.008000000001629815</v>
      </c>
      <c r="N90">
        <f>113163.52-113162.82</f>
        <v>0.6999999999970896</v>
      </c>
    </row>
    <row r="91" spans="1:10" ht="14.25">
      <c r="A91" s="75" t="s">
        <v>94</v>
      </c>
      <c r="B91" s="68" t="s">
        <v>72</v>
      </c>
      <c r="C91" s="13">
        <v>850</v>
      </c>
      <c r="D91" s="13">
        <v>16150</v>
      </c>
      <c r="E91" s="13"/>
      <c r="F91" s="13">
        <v>17000</v>
      </c>
      <c r="G91" s="88">
        <f>'2022'!$C91+'2022'!$D91</f>
        <v>17000</v>
      </c>
      <c r="H91" s="88">
        <f>'2022'!$C91+'2022'!$D91</f>
        <v>17000</v>
      </c>
      <c r="I91" s="88"/>
      <c r="J91" s="88">
        <f t="shared" si="0"/>
        <v>872.7</v>
      </c>
    </row>
    <row r="92" spans="1:10" ht="14.25">
      <c r="A92" s="75" t="s">
        <v>95</v>
      </c>
      <c r="B92" s="68" t="s">
        <v>72</v>
      </c>
      <c r="C92" s="13">
        <v>872.7</v>
      </c>
      <c r="D92" s="13">
        <v>16581.3</v>
      </c>
      <c r="E92" s="13"/>
      <c r="F92" s="13">
        <v>17454</v>
      </c>
      <c r="G92" s="88">
        <f>'2022'!$C92+'2022'!$D92</f>
        <v>17454</v>
      </c>
      <c r="H92" s="88">
        <f>'2022'!$C92+'2022'!$D92</f>
        <v>17454</v>
      </c>
      <c r="I92" s="88"/>
      <c r="J92" s="88">
        <f t="shared" si="0"/>
        <v>299.158</v>
      </c>
    </row>
    <row r="93" spans="1:11" ht="14.25">
      <c r="A93" s="75" t="s">
        <v>112</v>
      </c>
      <c r="B93" s="68" t="s">
        <v>72</v>
      </c>
      <c r="C93" s="13">
        <v>299.158</v>
      </c>
      <c r="D93" s="13">
        <v>5684.0019999999995</v>
      </c>
      <c r="E93" s="13"/>
      <c r="F93" s="13">
        <v>5983.16</v>
      </c>
      <c r="G93" s="88">
        <f>'2022'!$C93+'2022'!$D93</f>
        <v>5983.16</v>
      </c>
      <c r="H93" s="88">
        <f>'2022'!$C93+'2022'!$D93</f>
        <v>5983.16</v>
      </c>
      <c r="I93" s="88"/>
      <c r="J93" s="88">
        <f t="shared" si="0"/>
        <v>5658.1410735</v>
      </c>
      <c r="K93" s="11">
        <f>'2022'!$D$116-'2022'!$D$94</f>
        <v>0.001999999993131496</v>
      </c>
    </row>
    <row r="94" spans="1:10" ht="14.25">
      <c r="A94" s="76" t="s">
        <v>53</v>
      </c>
      <c r="B94" s="68"/>
      <c r="C94" s="13">
        <f>C81+C82+C83+C84+C85+C87+C88+C89+C90+C91+C92+C93</f>
        <v>20254.04497</v>
      </c>
      <c r="D94" s="13">
        <f>SUBTOTAL(109,D81:D93)</f>
        <v>92908.7705</v>
      </c>
      <c r="E94" s="13"/>
      <c r="F94" s="13">
        <f>F81+F82+F83+F84+F85+F87+F88+F89+F90+F91+F92+F93</f>
        <v>113162.82147</v>
      </c>
      <c r="G94" s="104"/>
      <c r="H94" s="104"/>
      <c r="I94" s="104"/>
      <c r="J94" s="104"/>
    </row>
    <row r="95" spans="1:12" ht="20.25">
      <c r="A95" s="137" t="s">
        <v>51</v>
      </c>
      <c r="B95" s="137"/>
      <c r="C95" s="137"/>
      <c r="D95" s="137"/>
      <c r="E95" s="73"/>
      <c r="F95" s="59"/>
      <c r="I95" s="11">
        <f>I95:L101</f>
        <v>0</v>
      </c>
      <c r="L95">
        <f>F87*5%</f>
        <v>849.9635000000001</v>
      </c>
    </row>
    <row r="96" spans="1:12" ht="14.25">
      <c r="A96" s="74" t="s">
        <v>0</v>
      </c>
      <c r="B96" s="55" t="s">
        <v>63</v>
      </c>
      <c r="C96" s="67" t="s">
        <v>2</v>
      </c>
      <c r="D96" s="67" t="s">
        <v>1</v>
      </c>
      <c r="E96" s="67" t="s">
        <v>3</v>
      </c>
      <c r="F96" s="67" t="s">
        <v>55</v>
      </c>
      <c r="G96" s="105" t="s">
        <v>106</v>
      </c>
      <c r="I96" s="11">
        <v>15364000</v>
      </c>
      <c r="J96" s="11">
        <f>I96-15364925.26</f>
        <v>-925.2599999997765</v>
      </c>
      <c r="L96">
        <f aca="true" t="shared" si="1" ref="L96:L103">F88*5%</f>
        <v>700.0734000000001</v>
      </c>
    </row>
    <row r="97" spans="1:12" ht="14.25">
      <c r="A97" s="80" t="s">
        <v>105</v>
      </c>
      <c r="B97" s="55"/>
      <c r="C97" s="67"/>
      <c r="D97" s="67"/>
      <c r="E97" s="67"/>
      <c r="F97" s="67">
        <f>'2022'!$E97+'2022'!$D97+'2022'!$C97</f>
        <v>0</v>
      </c>
      <c r="G97" s="88">
        <f aca="true" t="shared" si="2" ref="G97:G106">D93+C92+C91+C90+C89+C88+C87+C86</f>
        <v>10273.965499999998</v>
      </c>
      <c r="L97">
        <f t="shared" si="1"/>
        <v>850</v>
      </c>
    </row>
    <row r="98" spans="1:12" ht="14.25">
      <c r="A98" s="75" t="s">
        <v>87</v>
      </c>
      <c r="B98" s="68" t="s">
        <v>73</v>
      </c>
      <c r="C98" s="13">
        <v>600</v>
      </c>
      <c r="D98" s="67"/>
      <c r="E98" s="67"/>
      <c r="F98" s="13">
        <f>'2022'!$E98+'2022'!$D98+'2022'!$C98</f>
        <v>600</v>
      </c>
      <c r="G98" s="88">
        <f t="shared" si="2"/>
        <v>97797.89199999999</v>
      </c>
      <c r="I98" s="11">
        <f>(C81+C82+C83+C84+C85)*1000</f>
        <v>15364923.469999999</v>
      </c>
      <c r="J98" s="119">
        <f>J96/1000</f>
        <v>-0.9252599999997765</v>
      </c>
      <c r="L98">
        <f t="shared" si="1"/>
        <v>468</v>
      </c>
    </row>
    <row r="99" spans="1:14" ht="14.25">
      <c r="A99" s="75" t="s">
        <v>76</v>
      </c>
      <c r="B99" s="68" t="s">
        <v>73</v>
      </c>
      <c r="C99" s="13">
        <v>400</v>
      </c>
      <c r="D99" s="67"/>
      <c r="E99" s="67"/>
      <c r="F99" s="13">
        <f>'2022'!$E99+'2022'!$D99+'2022'!$C99</f>
        <v>400</v>
      </c>
      <c r="G99" s="88">
        <f t="shared" si="2"/>
        <v>24293.90297</v>
      </c>
      <c r="I99" s="11">
        <f>15364925.26-I98</f>
        <v>1.7900000009685755</v>
      </c>
      <c r="L99">
        <f t="shared" si="1"/>
        <v>850</v>
      </c>
      <c r="N99">
        <v>23998.15</v>
      </c>
    </row>
    <row r="100" spans="1:14" ht="27">
      <c r="A100" s="75" t="s">
        <v>62</v>
      </c>
      <c r="B100" s="68" t="s">
        <v>73</v>
      </c>
      <c r="C100" s="13">
        <f>4046.72+58.53+0.15</f>
        <v>4105.4</v>
      </c>
      <c r="D100" s="67"/>
      <c r="E100" s="67"/>
      <c r="F100" s="13">
        <f>'2022'!$E100+'2022'!$D100+'2022'!$C100</f>
        <v>4105.4</v>
      </c>
      <c r="G100" s="88" t="e">
        <f t="shared" si="2"/>
        <v>#VALUE!</v>
      </c>
      <c r="I100" s="11">
        <f>I99/1000</f>
        <v>0.0017900000009685754</v>
      </c>
      <c r="J100" s="11">
        <f>C81+C82+C83+C84+C85</f>
        <v>15364.92347</v>
      </c>
      <c r="K100" s="11">
        <f>'2022'!$F$94-113163.52</f>
        <v>-0.6985300000087591</v>
      </c>
      <c r="L100">
        <f t="shared" si="1"/>
        <v>872.7</v>
      </c>
      <c r="N100">
        <f>N99*5%</f>
        <v>1199.9075</v>
      </c>
    </row>
    <row r="101" spans="1:12" ht="14.25">
      <c r="A101" s="75" t="s">
        <v>19</v>
      </c>
      <c r="B101" s="68" t="s">
        <v>73</v>
      </c>
      <c r="C101" s="13">
        <v>7976.6</v>
      </c>
      <c r="D101" s="67"/>
      <c r="E101" s="67"/>
      <c r="F101" s="13">
        <f>'2022'!$E101+'2022'!$D101+'2022'!$C101</f>
        <v>7976.6</v>
      </c>
      <c r="G101" s="88" t="e">
        <f t="shared" si="2"/>
        <v>#VALUE!</v>
      </c>
      <c r="L101">
        <f t="shared" si="1"/>
        <v>299.158</v>
      </c>
    </row>
    <row r="102" spans="1:14" ht="14.25">
      <c r="A102" s="75" t="s">
        <v>79</v>
      </c>
      <c r="B102" s="68" t="s">
        <v>73</v>
      </c>
      <c r="C102" s="13">
        <v>2064.15</v>
      </c>
      <c r="D102" s="67"/>
      <c r="E102" s="67"/>
      <c r="F102" s="13">
        <f>'2022'!$E102+'2022'!$D102+'2022'!$C102</f>
        <v>2064.15</v>
      </c>
      <c r="G102" s="88" t="e">
        <f t="shared" si="2"/>
        <v>#VALUE!</v>
      </c>
      <c r="K102" s="11"/>
      <c r="L102">
        <f t="shared" si="1"/>
        <v>5658.1410735</v>
      </c>
      <c r="N102">
        <f>N99-N100</f>
        <v>22798.2425</v>
      </c>
    </row>
    <row r="103" spans="1:12" ht="14.25">
      <c r="A103" s="75" t="s">
        <v>61</v>
      </c>
      <c r="B103" s="68"/>
      <c r="C103" s="13"/>
      <c r="D103" s="13"/>
      <c r="E103" s="13"/>
      <c r="F103" s="13">
        <f>'2022'!$E103+'2022'!$D103+'2022'!$C103</f>
        <v>0</v>
      </c>
      <c r="G103" s="88" t="e">
        <f t="shared" si="2"/>
        <v>#VALUE!</v>
      </c>
      <c r="H103" s="11">
        <f>F104*5%</f>
        <v>1199.8745</v>
      </c>
      <c r="K103" s="11">
        <f>C81+C82+C83+C84+C85</f>
        <v>15364.92347</v>
      </c>
      <c r="L103">
        <f t="shared" si="1"/>
        <v>0</v>
      </c>
    </row>
    <row r="104" spans="1:11" s="108" customFormat="1" ht="14.25">
      <c r="A104" s="116" t="s">
        <v>22</v>
      </c>
      <c r="B104" s="86" t="s">
        <v>73</v>
      </c>
      <c r="C104" s="87">
        <f>1199.9075+0.09-0.65+0.13-0.52+0.23+0.03</f>
        <v>1199.2175</v>
      </c>
      <c r="D104" s="87">
        <f>22798.2425+0.03</f>
        <v>22798.2725</v>
      </c>
      <c r="E104" s="87"/>
      <c r="F104" s="87">
        <f>'2022'!$C104+'2022'!$D104</f>
        <v>23997.489999999998</v>
      </c>
      <c r="G104" s="88" t="e">
        <f t="shared" si="2"/>
        <v>#VALUE!</v>
      </c>
      <c r="H104" s="109">
        <f>'2022'!$F104*5%</f>
        <v>1199.8745</v>
      </c>
      <c r="I104" s="109">
        <f>'2022'!$F104-'2022'!$C104</f>
        <v>22798.2725</v>
      </c>
      <c r="J104" s="109"/>
      <c r="K104" s="109">
        <f>K103*1000</f>
        <v>15364923.469999999</v>
      </c>
    </row>
    <row r="105" spans="1:12" s="108" customFormat="1" ht="14.25">
      <c r="A105" s="107" t="s">
        <v>114</v>
      </c>
      <c r="B105" s="86" t="s">
        <v>73</v>
      </c>
      <c r="C105" s="87">
        <v>200</v>
      </c>
      <c r="D105" s="87">
        <v>3800</v>
      </c>
      <c r="E105" s="87"/>
      <c r="F105" s="87">
        <f>'2022'!$C105+'2022'!$D105</f>
        <v>4000</v>
      </c>
      <c r="G105" s="88" t="e">
        <f t="shared" si="2"/>
        <v>#VALUE!</v>
      </c>
      <c r="H105" s="109">
        <f>'2022'!$F105*5%</f>
        <v>200</v>
      </c>
      <c r="I105" s="109">
        <f>'2022'!$F105-'2022'!$C105</f>
        <v>3800</v>
      </c>
      <c r="J105" s="109"/>
      <c r="K105" s="109">
        <f>K104-15364925.26</f>
        <v>-1.7900000009685755</v>
      </c>
      <c r="L105" s="109">
        <f>F87+F88+F89+F90+F91+F92+F93</f>
        <v>97797.898</v>
      </c>
    </row>
    <row r="106" spans="1:11" s="108" customFormat="1" ht="14.25">
      <c r="A106" s="107" t="s">
        <v>115</v>
      </c>
      <c r="B106" s="86" t="s">
        <v>73</v>
      </c>
      <c r="C106" s="87">
        <v>840</v>
      </c>
      <c r="D106" s="87">
        <v>15960</v>
      </c>
      <c r="E106" s="87"/>
      <c r="F106" s="87">
        <f>'2022'!$C106+'2022'!$D106</f>
        <v>16800</v>
      </c>
      <c r="G106" s="88" t="e">
        <f t="shared" si="2"/>
        <v>#VALUE!</v>
      </c>
      <c r="H106" s="109">
        <f>'2022'!$F106*5%</f>
        <v>840</v>
      </c>
      <c r="I106" s="109">
        <f>'2022'!$F106-'2022'!$C106</f>
        <v>15960</v>
      </c>
      <c r="J106" s="109"/>
      <c r="K106" s="109"/>
    </row>
    <row r="107" spans="1:12" s="112" customFormat="1" ht="14.25">
      <c r="A107" s="107" t="s">
        <v>116</v>
      </c>
      <c r="B107" s="86" t="s">
        <v>73</v>
      </c>
      <c r="C107" s="87">
        <v>165</v>
      </c>
      <c r="D107" s="87">
        <v>3135</v>
      </c>
      <c r="E107" s="111"/>
      <c r="F107" s="87">
        <f>'2022'!$C107+'2022'!$D107</f>
        <v>3300</v>
      </c>
      <c r="G107" s="88">
        <f>D105+C104+C103+C102+C101+C100+C99+C98</f>
        <v>20145.3675</v>
      </c>
      <c r="H107" s="109">
        <f>'2022'!$F107*5%</f>
        <v>165</v>
      </c>
      <c r="I107" s="109">
        <f>'2022'!$F107-'2022'!$C107</f>
        <v>3135</v>
      </c>
      <c r="J107" s="109"/>
      <c r="K107" s="109"/>
      <c r="L107" s="112">
        <f>L105*1000</f>
        <v>97797898</v>
      </c>
    </row>
    <row r="108" spans="1:11" s="108" customFormat="1" ht="14.25">
      <c r="A108" s="116" t="s">
        <v>23</v>
      </c>
      <c r="B108" s="86" t="s">
        <v>73</v>
      </c>
      <c r="C108" s="87">
        <v>603.375</v>
      </c>
      <c r="D108" s="87">
        <f>11400+67.5</f>
        <v>11467.5</v>
      </c>
      <c r="E108" s="87"/>
      <c r="F108" s="87">
        <f>'2022'!$C108+'2022'!$D108</f>
        <v>12070.875</v>
      </c>
      <c r="G108" s="88">
        <f>D106+C105+C104+C103+C102+C101+C100+C99</f>
        <v>31905.3675</v>
      </c>
      <c r="H108" s="109">
        <f>'2022'!$F108*5%</f>
        <v>603.54375</v>
      </c>
      <c r="I108" s="109">
        <f>'2022'!$F108-'2022'!$C108</f>
        <v>11467.5</v>
      </c>
      <c r="J108" s="109"/>
      <c r="K108" s="109"/>
    </row>
    <row r="109" spans="1:13" s="108" customFormat="1" ht="14.25">
      <c r="A109" s="107" t="s">
        <v>117</v>
      </c>
      <c r="B109" s="86" t="s">
        <v>73</v>
      </c>
      <c r="C109" s="87">
        <v>449.77</v>
      </c>
      <c r="D109" s="87">
        <v>8548</v>
      </c>
      <c r="E109" s="87"/>
      <c r="F109" s="87">
        <f>'2022'!$C109+'2022'!$D109</f>
        <v>8997.77</v>
      </c>
      <c r="G109" s="88" t="e">
        <f>#REF!+C106+C105+C104+C103+C102+C101+C100</f>
        <v>#REF!</v>
      </c>
      <c r="H109" s="109">
        <f>'2022'!$F109*5%</f>
        <v>449.8885</v>
      </c>
      <c r="I109" s="109">
        <f>'2022'!$F109-'2022'!$C109</f>
        <v>8548</v>
      </c>
      <c r="J109" s="109">
        <f>J113-H114</f>
        <v>29495.268484375003</v>
      </c>
      <c r="K109" s="109">
        <f>F104-C104</f>
        <v>22798.2725</v>
      </c>
      <c r="L109" s="108">
        <f>97797894.74-L107</f>
        <v>-3.260000005364418</v>
      </c>
      <c r="M109" s="108">
        <f>F104*5%</f>
        <v>1199.8745</v>
      </c>
    </row>
    <row r="110" spans="1:14" s="108" customFormat="1" ht="14.25">
      <c r="A110" s="75" t="s">
        <v>33</v>
      </c>
      <c r="B110" s="68" t="s">
        <v>74</v>
      </c>
      <c r="C110" s="13">
        <v>631.575</v>
      </c>
      <c r="D110" s="13">
        <v>12000</v>
      </c>
      <c r="E110" s="13"/>
      <c r="F110" s="87">
        <f>'2022'!$C110+'2022'!$D110</f>
        <v>12631.575</v>
      </c>
      <c r="G110" s="88" t="e">
        <f>#REF!+#REF!+C106+C105+C104+C103+C102+C101</f>
        <v>#REF!</v>
      </c>
      <c r="H110" s="109">
        <f>'2022'!$F110*5%</f>
        <v>631.5787500000001</v>
      </c>
      <c r="I110" s="109">
        <f>'2022'!$F110-'2022'!$C110</f>
        <v>12000</v>
      </c>
      <c r="J110" s="109">
        <f>F104-C104</f>
        <v>22798.2725</v>
      </c>
      <c r="K110" s="109"/>
      <c r="L110" s="108">
        <f>L109/1000</f>
        <v>-0.003260000005364418</v>
      </c>
      <c r="M110" s="108">
        <f aca="true" t="shared" si="3" ref="M110:M120">F105*5%</f>
        <v>200</v>
      </c>
      <c r="N110" s="109">
        <f>F104+F105+F106+F107+F108+F109+'2022'!$F110+F111+F112+F113+F114+F115</f>
        <v>97797.885</v>
      </c>
    </row>
    <row r="111" spans="1:13" s="108" customFormat="1" ht="14.25">
      <c r="A111" s="75" t="s">
        <v>36</v>
      </c>
      <c r="B111" s="68" t="s">
        <v>74</v>
      </c>
      <c r="C111" s="13">
        <v>168.60000000000002</v>
      </c>
      <c r="D111" s="13">
        <v>3200</v>
      </c>
      <c r="E111" s="13"/>
      <c r="F111" s="87">
        <f>'2022'!$C111+'2022'!$D111</f>
        <v>3368.6</v>
      </c>
      <c r="G111" s="88" t="e">
        <f>D107+#REF!+#REF!+C106+C105+C104+C103+C102</f>
        <v>#REF!</v>
      </c>
      <c r="H111" s="109">
        <f>'2022'!$F111*5%</f>
        <v>168.43</v>
      </c>
      <c r="I111" s="109">
        <f>'2022'!$F111-'2022'!$C111</f>
        <v>3200</v>
      </c>
      <c r="J111" s="109"/>
      <c r="K111" s="109"/>
      <c r="M111" s="108">
        <f t="shared" si="3"/>
        <v>840</v>
      </c>
    </row>
    <row r="112" spans="1:14" s="108" customFormat="1" ht="14.25">
      <c r="A112" s="75" t="s">
        <v>37</v>
      </c>
      <c r="B112" s="68" t="s">
        <v>74</v>
      </c>
      <c r="C112" s="13">
        <v>118.42031250000001</v>
      </c>
      <c r="D112" s="13">
        <v>2250</v>
      </c>
      <c r="E112" s="13"/>
      <c r="F112" s="87">
        <f>'2022'!$C112+'2022'!$D112</f>
        <v>2368.4203125</v>
      </c>
      <c r="G112" s="88" t="e">
        <f>D108+C107+#REF!+#REF!+C106+C105+C104+C103</f>
        <v>#REF!</v>
      </c>
      <c r="H112" s="109">
        <f>'2022'!$F112*5%</f>
        <v>118.421015625</v>
      </c>
      <c r="I112" s="109">
        <f>'2022'!$F112-'2022'!$C112</f>
        <v>2250</v>
      </c>
      <c r="J112" s="109"/>
      <c r="K112" s="109"/>
      <c r="M112" s="108">
        <f t="shared" si="3"/>
        <v>165</v>
      </c>
      <c r="N112" s="109">
        <f>N110-97797.89</f>
        <v>-0.005000000004656613</v>
      </c>
    </row>
    <row r="113" spans="1:13" s="108" customFormat="1" ht="14.25">
      <c r="A113" s="75" t="s">
        <v>38</v>
      </c>
      <c r="B113" s="68" t="s">
        <v>74</v>
      </c>
      <c r="C113" s="13">
        <v>168.42000000000002</v>
      </c>
      <c r="D113" s="13">
        <v>3200</v>
      </c>
      <c r="E113" s="13"/>
      <c r="F113" s="87">
        <f>'2022'!$C113+'2022'!$D113</f>
        <v>3368.42</v>
      </c>
      <c r="G113" s="88" t="e">
        <f>D109+C108+C107+#REF!+#REF!+C106+C105+C104</f>
        <v>#REF!</v>
      </c>
      <c r="H113" s="109">
        <f>'2022'!$F113*5%</f>
        <v>168.42100000000002</v>
      </c>
      <c r="I113" s="109">
        <f>'2022'!$F113-'2022'!$C113</f>
        <v>3200</v>
      </c>
      <c r="J113" s="114">
        <v>29697.9</v>
      </c>
      <c r="K113" s="109"/>
      <c r="M113" s="108">
        <f t="shared" si="3"/>
        <v>603.54375</v>
      </c>
    </row>
    <row r="114" spans="1:13" s="108" customFormat="1" ht="14.25">
      <c r="A114" s="107" t="s">
        <v>39</v>
      </c>
      <c r="B114" s="86" t="s">
        <v>74</v>
      </c>
      <c r="C114" s="87">
        <v>202.6303125</v>
      </c>
      <c r="D114" s="87">
        <v>3850</v>
      </c>
      <c r="E114" s="87"/>
      <c r="F114" s="87">
        <f>'2022'!$C114+'2022'!$D114</f>
        <v>4052.6303125</v>
      </c>
      <c r="G114" s="88" t="e">
        <f>D110+C109+C108+C107+#REF!+#REF!+C106+C105</f>
        <v>#REF!</v>
      </c>
      <c r="H114" s="109">
        <f>'2022'!$F114*5%</f>
        <v>202.63151562500002</v>
      </c>
      <c r="I114" s="109">
        <f>'2022'!$F114-'2022'!$C114</f>
        <v>3850</v>
      </c>
      <c r="J114" s="109"/>
      <c r="K114" s="109"/>
      <c r="L114" s="108">
        <f>97797.89*5%</f>
        <v>4889.8945</v>
      </c>
      <c r="M114" s="108">
        <f t="shared" si="3"/>
        <v>449.8885</v>
      </c>
    </row>
    <row r="115" spans="1:13" ht="14.25">
      <c r="A115" s="75" t="s">
        <v>40</v>
      </c>
      <c r="B115" s="68" t="s">
        <v>74</v>
      </c>
      <c r="C115" s="13">
        <v>142.104375</v>
      </c>
      <c r="D115" s="13">
        <v>2700</v>
      </c>
      <c r="E115" s="13"/>
      <c r="F115" s="87">
        <f>'2022'!$C115+'2022'!$D115</f>
        <v>2842.104375</v>
      </c>
      <c r="G115" s="88" t="e">
        <f>D111+C110+C109+C108+C107+#REF!+#REF!+C106</f>
        <v>#REF!</v>
      </c>
      <c r="H115" s="109">
        <f>'2022'!$F115*5%</f>
        <v>142.10521875</v>
      </c>
      <c r="I115" s="109">
        <f>'2022'!$F115-'2022'!$C115</f>
        <v>2700</v>
      </c>
      <c r="J115" s="106"/>
      <c r="M115" s="108">
        <f t="shared" si="3"/>
        <v>631.5787500000001</v>
      </c>
    </row>
    <row r="116" spans="1:14" ht="14.25">
      <c r="A116" s="76" t="s">
        <v>53</v>
      </c>
      <c r="B116" s="68"/>
      <c r="C116" s="13">
        <f>C115+C114+C113+C112+C111+C110+C109+C108+C107+C106+C105+C104+C102+C101+C100+C99+C98</f>
        <v>20035.2625</v>
      </c>
      <c r="D116" s="13">
        <f>SUBTOTAL(109,D97:D115)</f>
        <v>92908.77249999999</v>
      </c>
      <c r="E116" s="13">
        <f>SUBTOTAL(109,E97:E115)</f>
        <v>0</v>
      </c>
      <c r="F116" s="13">
        <f>SUBTOTAL(109,F97:F115)</f>
        <v>112944.035</v>
      </c>
      <c r="G116" s="104"/>
      <c r="J116" s="11">
        <f>112944.05-'2022'!$F$116</f>
        <v>0.014999999999417923</v>
      </c>
      <c r="K116">
        <f>J116*5%</f>
        <v>0.0007499999999708962</v>
      </c>
      <c r="M116" s="108">
        <f t="shared" si="3"/>
        <v>168.43</v>
      </c>
      <c r="N116" s="11">
        <f>N120-N123</f>
        <v>0.7819999999992433</v>
      </c>
    </row>
    <row r="117" spans="1:13" ht="20.25">
      <c r="A117" s="137" t="s">
        <v>52</v>
      </c>
      <c r="B117" s="137"/>
      <c r="C117" s="137"/>
      <c r="D117" s="137"/>
      <c r="E117" s="73"/>
      <c r="F117" s="59"/>
      <c r="M117" s="108">
        <f t="shared" si="3"/>
        <v>118.421015625</v>
      </c>
    </row>
    <row r="118" spans="1:14" ht="14.25">
      <c r="A118" s="74" t="s">
        <v>0</v>
      </c>
      <c r="B118" s="66" t="s">
        <v>63</v>
      </c>
      <c r="C118" s="67" t="s">
        <v>2</v>
      </c>
      <c r="D118" s="67" t="s">
        <v>1</v>
      </c>
      <c r="E118" s="67" t="s">
        <v>3</v>
      </c>
      <c r="F118" s="67" t="s">
        <v>55</v>
      </c>
      <c r="G118" s="105" t="s">
        <v>106</v>
      </c>
      <c r="H118" s="105" t="s">
        <v>109</v>
      </c>
      <c r="I118" s="105" t="s">
        <v>113</v>
      </c>
      <c r="J118" s="105" t="s">
        <v>118</v>
      </c>
      <c r="K118" s="11">
        <f>'2022'!$D$94-'2022'!$D$116</f>
        <v>-0.001999999993131496</v>
      </c>
      <c r="L118" s="11">
        <f>F104-1.73</f>
        <v>23995.76</v>
      </c>
      <c r="M118" s="108">
        <f t="shared" si="3"/>
        <v>168.42100000000002</v>
      </c>
      <c r="N118" s="11"/>
    </row>
    <row r="119" spans="1:13" ht="14.25">
      <c r="A119" s="75" t="s">
        <v>87</v>
      </c>
      <c r="B119" s="68" t="s">
        <v>74</v>
      </c>
      <c r="C119" s="13">
        <v>600</v>
      </c>
      <c r="D119" s="13"/>
      <c r="E119" s="13"/>
      <c r="F119" s="13">
        <f>SUM('2022'!$C119:$E119)</f>
        <v>600</v>
      </c>
      <c r="G119" s="88"/>
      <c r="H119" s="88"/>
      <c r="I119" s="88"/>
      <c r="J119" s="88">
        <f>C98+C99+C100+C101+C102</f>
        <v>15146.15</v>
      </c>
      <c r="M119" s="108">
        <f t="shared" si="3"/>
        <v>202.63151562500002</v>
      </c>
    </row>
    <row r="120" spans="1:14" ht="14.25">
      <c r="A120" s="75" t="s">
        <v>76</v>
      </c>
      <c r="B120" s="68" t="s">
        <v>74</v>
      </c>
      <c r="C120" s="13">
        <v>400</v>
      </c>
      <c r="D120" s="13"/>
      <c r="E120" s="13"/>
      <c r="F120" s="13">
        <f>SUM('2022'!$C120:$E120)</f>
        <v>400</v>
      </c>
      <c r="G120" s="88"/>
      <c r="H120" s="88"/>
      <c r="I120" s="88"/>
      <c r="J120" s="88">
        <f>C99+C100+C101+C102+C103</f>
        <v>14546.15</v>
      </c>
      <c r="K120" s="11"/>
      <c r="L120" s="11">
        <f>'2022'!$D$116-'2022'!$D$94</f>
        <v>0.001999999993131496</v>
      </c>
      <c r="M120" s="108">
        <f t="shared" si="3"/>
        <v>142.10521875</v>
      </c>
      <c r="N120">
        <f>97797.89*5%</f>
        <v>4889.8945</v>
      </c>
    </row>
    <row r="121" spans="1:13" ht="27">
      <c r="A121" s="75" t="s">
        <v>62</v>
      </c>
      <c r="B121" s="68" t="s">
        <v>74</v>
      </c>
      <c r="C121" s="13">
        <v>4105.4</v>
      </c>
      <c r="D121" s="13"/>
      <c r="E121" s="13"/>
      <c r="F121" s="13">
        <f>SUM('2022'!$C121:$E121)</f>
        <v>4105.4</v>
      </c>
      <c r="G121" s="88"/>
      <c r="H121" s="88"/>
      <c r="I121" s="88"/>
      <c r="J121" s="88">
        <f>C100+C101+C102+C103+C104</f>
        <v>15345.3675</v>
      </c>
      <c r="K121">
        <f>112944.05-112876.55</f>
        <v>67.5</v>
      </c>
      <c r="M121" s="108">
        <f>F114*5%</f>
        <v>202.63151562500002</v>
      </c>
    </row>
    <row r="122" spans="1:10" ht="14.25">
      <c r="A122" s="75" t="s">
        <v>19</v>
      </c>
      <c r="B122" s="68" t="s">
        <v>74</v>
      </c>
      <c r="C122" s="13">
        <v>7976.6</v>
      </c>
      <c r="D122" s="13"/>
      <c r="E122" s="13"/>
      <c r="F122" s="13">
        <f>SUM('2022'!$C122:$E122)</f>
        <v>7976.6</v>
      </c>
      <c r="G122" s="88"/>
      <c r="H122" s="88"/>
      <c r="I122" s="88"/>
      <c r="J122" s="88">
        <f>C101+C102+C103+C104+C105</f>
        <v>11439.9675</v>
      </c>
    </row>
    <row r="123" spans="1:14" ht="14.25">
      <c r="A123" s="75" t="s">
        <v>79</v>
      </c>
      <c r="B123" s="68" t="s">
        <v>74</v>
      </c>
      <c r="C123" s="13">
        <v>2064.15</v>
      </c>
      <c r="D123" s="13"/>
      <c r="E123" s="13"/>
      <c r="F123" s="13">
        <f>SUM('2022'!$C123:$E123)</f>
        <v>2064.15</v>
      </c>
      <c r="G123" s="88"/>
      <c r="H123" s="88"/>
      <c r="I123" s="88"/>
      <c r="J123" s="88">
        <f>C102+C103+C104+C105+C106</f>
        <v>4303.3675</v>
      </c>
      <c r="N123" s="11">
        <f>C104+C105+C106+C107+C108+C109+C110+C111+C112+C113+C114+C115</f>
        <v>4889.112500000001</v>
      </c>
    </row>
    <row r="124" spans="1:14" ht="14.25">
      <c r="A124" s="75" t="s">
        <v>24</v>
      </c>
      <c r="B124" s="68" t="s">
        <v>74</v>
      </c>
      <c r="C124" s="13">
        <v>94.5</v>
      </c>
      <c r="D124" s="13">
        <v>1800</v>
      </c>
      <c r="E124" s="13"/>
      <c r="F124" s="13">
        <f>SUM('2022'!$C124:$E124)</f>
        <v>1894.5</v>
      </c>
      <c r="G124" s="88"/>
      <c r="H124" s="88"/>
      <c r="I124" s="88"/>
      <c r="J124" s="88" t="e">
        <f>C103+C104+C105+C106+#REF!</f>
        <v>#REF!</v>
      </c>
      <c r="N124" s="11">
        <f>F104+F105+F106+F107+F108+F109+F110+F111+F112+F113+F114+F115</f>
        <v>97797.885</v>
      </c>
    </row>
    <row r="125" spans="1:10" ht="27">
      <c r="A125" s="75" t="s">
        <v>25</v>
      </c>
      <c r="B125" s="68" t="s">
        <v>74</v>
      </c>
      <c r="C125" s="13">
        <v>259.875</v>
      </c>
      <c r="D125" s="13">
        <v>4950</v>
      </c>
      <c r="E125" s="13"/>
      <c r="F125" s="13">
        <f>SUM('2022'!$C125:$E125)</f>
        <v>5209.875</v>
      </c>
      <c r="G125" s="88"/>
      <c r="H125" s="88"/>
      <c r="I125" s="88"/>
      <c r="J125" s="88" t="e">
        <f>C104+C105+C106+#REF!+#REF!</f>
        <v>#REF!</v>
      </c>
    </row>
    <row r="126" spans="1:10" ht="14.25">
      <c r="A126" s="75" t="s">
        <v>26</v>
      </c>
      <c r="B126" s="68" t="s">
        <v>74</v>
      </c>
      <c r="C126" s="13">
        <v>141.75</v>
      </c>
      <c r="D126" s="13">
        <v>2700</v>
      </c>
      <c r="E126" s="13"/>
      <c r="F126" s="13">
        <f>SUM('2022'!$C126:$E126)</f>
        <v>2841.75</v>
      </c>
      <c r="G126" s="88"/>
      <c r="H126" s="88"/>
      <c r="I126" s="88"/>
      <c r="J126" s="88" t="e">
        <f>C105+C106+#REF!+#REF!+C107</f>
        <v>#REF!</v>
      </c>
    </row>
    <row r="127" spans="1:10" ht="14.25">
      <c r="A127" s="75" t="s">
        <v>27</v>
      </c>
      <c r="B127" s="68" t="s">
        <v>74</v>
      </c>
      <c r="C127" s="13">
        <v>141.75</v>
      </c>
      <c r="D127" s="13">
        <v>2700</v>
      </c>
      <c r="E127" s="13"/>
      <c r="F127" s="13">
        <f>SUM('2022'!$C127:$E127)</f>
        <v>2841.75</v>
      </c>
      <c r="G127" s="88"/>
      <c r="H127" s="88"/>
      <c r="I127" s="88"/>
      <c r="J127" s="88" t="e">
        <f>C106+#REF!+#REF!+C107+C108</f>
        <v>#REF!</v>
      </c>
    </row>
    <row r="128" spans="1:10" ht="14.25">
      <c r="A128" s="75" t="s">
        <v>28</v>
      </c>
      <c r="B128" s="68" t="s">
        <v>74</v>
      </c>
      <c r="C128" s="13">
        <v>210</v>
      </c>
      <c r="D128" s="13">
        <v>4000</v>
      </c>
      <c r="E128" s="13"/>
      <c r="F128" s="13">
        <f>SUM('2022'!$C128:$E128)</f>
        <v>4210</v>
      </c>
      <c r="G128" s="88"/>
      <c r="H128" s="88"/>
      <c r="I128" s="88"/>
      <c r="J128" s="88" t="e">
        <f>#REF!+#REF!+C107+C108+C109</f>
        <v>#REF!</v>
      </c>
    </row>
    <row r="129" spans="1:10" ht="14.25">
      <c r="A129" s="75" t="s">
        <v>29</v>
      </c>
      <c r="B129" s="68" t="s">
        <v>74</v>
      </c>
      <c r="C129" s="13">
        <v>141.75</v>
      </c>
      <c r="D129" s="13">
        <v>2700</v>
      </c>
      <c r="E129" s="13"/>
      <c r="F129" s="13">
        <f>SUM('2022'!$C129:$E129)</f>
        <v>2841.75</v>
      </c>
      <c r="G129" s="88"/>
      <c r="H129" s="88"/>
      <c r="I129" s="88"/>
      <c r="J129" s="88" t="e">
        <f>#REF!+C107+C108+C109+C110</f>
        <v>#REF!</v>
      </c>
    </row>
    <row r="130" spans="1:10" ht="14.25">
      <c r="A130" s="75" t="s">
        <v>30</v>
      </c>
      <c r="B130" s="68" t="s">
        <v>74</v>
      </c>
      <c r="C130" s="13">
        <v>315</v>
      </c>
      <c r="D130" s="13">
        <v>6000</v>
      </c>
      <c r="E130" s="13"/>
      <c r="F130" s="13">
        <f>SUM('2022'!$C130:$E130)</f>
        <v>6315</v>
      </c>
      <c r="G130" s="88"/>
      <c r="H130" s="88"/>
      <c r="I130" s="88"/>
      <c r="J130" s="88">
        <f>C107+C108+C109+C110+C111</f>
        <v>2018.3200000000002</v>
      </c>
    </row>
    <row r="131" spans="1:10" ht="14.25">
      <c r="A131" s="75" t="s">
        <v>31</v>
      </c>
      <c r="B131" s="68" t="s">
        <v>74</v>
      </c>
      <c r="C131" s="13">
        <v>157.5</v>
      </c>
      <c r="D131" s="13">
        <v>3000</v>
      </c>
      <c r="E131" s="13"/>
      <c r="F131" s="13">
        <f>SUM('2022'!$C131:$E131)</f>
        <v>3157.5</v>
      </c>
      <c r="G131" s="88"/>
      <c r="H131" s="88"/>
      <c r="I131" s="88"/>
      <c r="J131" s="88">
        <f>C108+C109+C110+C111+C112</f>
        <v>1971.7403125</v>
      </c>
    </row>
    <row r="132" spans="1:10" ht="14.25">
      <c r="A132" s="75" t="s">
        <v>32</v>
      </c>
      <c r="B132" s="68" t="s">
        <v>74</v>
      </c>
      <c r="C132" s="13">
        <v>141.75</v>
      </c>
      <c r="D132" s="13">
        <v>2700</v>
      </c>
      <c r="E132" s="13"/>
      <c r="F132" s="13">
        <f>SUM('2022'!$C132:$E132)</f>
        <v>2841.75</v>
      </c>
      <c r="G132" s="88"/>
      <c r="H132" s="88"/>
      <c r="I132" s="88"/>
      <c r="J132" s="88">
        <f>C109+C110+C111+C112+C113</f>
        <v>1536.7853125000001</v>
      </c>
    </row>
    <row r="133" spans="1:10" ht="14.25">
      <c r="A133" s="76" t="s">
        <v>53</v>
      </c>
      <c r="B133" s="68"/>
      <c r="C133" s="13">
        <f>C119+C120+C121+C122+C123+C124+C125+C127+C126+C128+C129+C130+C131+C132</f>
        <v>16750.025</v>
      </c>
      <c r="D133" s="13">
        <f>D119+D120+D121+D122+D123+D124+D125+D127+D126+D128+D129+D130+D131+D132</f>
        <v>30550</v>
      </c>
      <c r="E133" s="13"/>
      <c r="F133" s="13">
        <f>SUBTOTAL(109,F119:F132)</f>
        <v>47300.025</v>
      </c>
      <c r="G133" s="104"/>
      <c r="H133" s="104"/>
      <c r="I133" s="104"/>
      <c r="J133" s="104"/>
    </row>
    <row r="134" ht="14.25" hidden="1"/>
    <row r="135" spans="1:9" ht="15" hidden="1">
      <c r="A135" s="132" t="s">
        <v>96</v>
      </c>
      <c r="B135" s="133"/>
      <c r="C135" s="133"/>
      <c r="D135" s="133"/>
      <c r="E135" s="133"/>
      <c r="F135" s="133"/>
      <c r="G135" s="133"/>
      <c r="H135" s="133"/>
      <c r="I135" s="134"/>
    </row>
    <row r="136" spans="1:9" ht="15" hidden="1">
      <c r="A136" s="127" t="s">
        <v>97</v>
      </c>
      <c r="B136" s="128" t="s">
        <v>98</v>
      </c>
      <c r="C136" s="129" t="s">
        <v>99</v>
      </c>
      <c r="D136" s="130"/>
      <c r="E136" s="130"/>
      <c r="F136" s="130"/>
      <c r="G136" s="130"/>
      <c r="H136" s="130"/>
      <c r="I136" s="131"/>
    </row>
    <row r="137" spans="1:9" ht="15" hidden="1">
      <c r="A137" s="127"/>
      <c r="B137" s="128"/>
      <c r="C137" s="101">
        <v>2020</v>
      </c>
      <c r="D137" s="101">
        <v>2021</v>
      </c>
      <c r="E137" s="101">
        <v>2022</v>
      </c>
      <c r="F137" s="101">
        <v>2023</v>
      </c>
      <c r="G137" s="101">
        <v>2024</v>
      </c>
      <c r="H137" s="101">
        <v>2025</v>
      </c>
      <c r="I137" s="78"/>
    </row>
    <row r="138" spans="1:9" ht="30.75" hidden="1">
      <c r="A138" s="102" t="s">
        <v>100</v>
      </c>
      <c r="B138" s="102" t="s">
        <v>101</v>
      </c>
      <c r="C138" s="102"/>
      <c r="D138" s="102"/>
      <c r="E138" s="102"/>
      <c r="F138" s="102"/>
      <c r="G138" s="102"/>
      <c r="H138" s="102"/>
      <c r="I138" s="102"/>
    </row>
    <row r="139" spans="1:9" ht="46.5" hidden="1">
      <c r="A139" s="102" t="s">
        <v>102</v>
      </c>
      <c r="B139" s="102" t="s">
        <v>103</v>
      </c>
      <c r="C139" s="102"/>
      <c r="D139" s="102"/>
      <c r="E139" s="102"/>
      <c r="F139" s="102"/>
      <c r="G139" s="102"/>
      <c r="H139" s="102"/>
      <c r="I139" s="102"/>
    </row>
  </sheetData>
  <sheetProtection/>
  <mergeCells count="11">
    <mergeCell ref="A95:D95"/>
    <mergeCell ref="A5:E5"/>
    <mergeCell ref="A15:E15"/>
    <mergeCell ref="A35:D35"/>
    <mergeCell ref="A60:D60"/>
    <mergeCell ref="A79:D79"/>
    <mergeCell ref="A117:D117"/>
    <mergeCell ref="A135:I135"/>
    <mergeCell ref="A136:A137"/>
    <mergeCell ref="B136:B137"/>
    <mergeCell ref="C136:I136"/>
  </mergeCells>
  <printOptions/>
  <pageMargins left="0.7" right="0.7" top="0.75" bottom="0.75" header="0.3" footer="0.3"/>
  <pageSetup fitToHeight="0" fitToWidth="1" horizontalDpi="600" verticalDpi="600" orientation="landscape" paperSize="9" scale="81" r:id="rId3"/>
  <tableParts>
    <tablePart r:id="rId2"/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E17:E18"/>
  <sheetViews>
    <sheetView zoomScaleSheetLayoutView="115" zoomScalePageLayoutView="0" workbookViewId="0" topLeftCell="A1">
      <selection activeCell="A1" sqref="A1:E16"/>
    </sheetView>
  </sheetViews>
  <sheetFormatPr defaultColWidth="9.140625" defaultRowHeight="15"/>
  <cols>
    <col min="1" max="1" width="63.00390625" style="0" customWidth="1"/>
    <col min="2" max="2" width="21.00390625" style="0" customWidth="1"/>
    <col min="3" max="3" width="22.8515625" style="0" customWidth="1"/>
    <col min="4" max="4" width="26.00390625" style="0" customWidth="1"/>
    <col min="5" max="5" width="15.421875" style="0" bestFit="1" customWidth="1"/>
  </cols>
  <sheetData>
    <row r="17" ht="15">
      <c r="E17" s="20">
        <v>156380.64</v>
      </c>
    </row>
    <row r="18" ht="14.25">
      <c r="E18" s="11">
        <f>E17-'2020'!$F$94</f>
        <v>43217.82100000001</v>
      </c>
    </row>
  </sheetData>
  <sheetProtection/>
  <printOptions/>
  <pageMargins left="0.7" right="0.7" top="0.75" bottom="0.75" header="0.3" footer="0.3"/>
  <pageSetup horizontalDpi="600" verticalDpi="600" orientation="landscape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:E14"/>
    </sheetView>
  </sheetViews>
  <sheetFormatPr defaultColWidth="9.140625" defaultRowHeight="15"/>
  <cols>
    <col min="1" max="1" width="63.00390625" style="0" customWidth="1"/>
    <col min="2" max="2" width="21.00390625" style="0" customWidth="1"/>
    <col min="3" max="3" width="22.140625" style="0" customWidth="1"/>
    <col min="4" max="4" width="25.7109375" style="0" customWidth="1"/>
    <col min="5" max="5" width="14.28125" style="0" customWidth="1"/>
  </cols>
  <sheetData/>
  <sheetProtection/>
  <printOptions/>
  <pageMargins left="0.7" right="0.7" top="0.75" bottom="0.75" header="0.3" footer="0.3"/>
  <pageSetup horizontalDpi="600" verticalDpi="600" orientation="landscape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85" zoomScaleSheetLayoutView="85" zoomScalePageLayoutView="0" workbookViewId="0" topLeftCell="A1">
      <selection activeCell="A1" sqref="A1:E26"/>
    </sheetView>
  </sheetViews>
  <sheetFormatPr defaultColWidth="9.140625" defaultRowHeight="15"/>
  <cols>
    <col min="1" max="1" width="63.00390625" style="0" customWidth="1"/>
    <col min="2" max="2" width="21.00390625" style="0" customWidth="1"/>
    <col min="3" max="3" width="22.8515625" style="0" customWidth="1"/>
    <col min="4" max="4" width="22.28125" style="0" customWidth="1"/>
    <col min="5" max="5" width="12.7109375" style="0" bestFit="1" customWidth="1"/>
  </cols>
  <sheetData/>
  <sheetProtection/>
  <printOptions/>
  <pageMargins left="0.7" right="0.7" top="0.75" bottom="0.75" header="0.3" footer="0.3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REDPC</cp:lastModifiedBy>
  <cp:lastPrinted>2022-03-11T11:34:34Z</cp:lastPrinted>
  <dcterms:created xsi:type="dcterms:W3CDTF">2015-06-05T18:17:20Z</dcterms:created>
  <dcterms:modified xsi:type="dcterms:W3CDTF">2022-03-28T07:56:47Z</dcterms:modified>
  <cp:category/>
  <cp:version/>
  <cp:contentType/>
  <cp:contentStatus/>
</cp:coreProperties>
</file>